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auljir01\Asociace pro vodu ČR z.s\SVH_SOVAK_CzWA - Decentrál\Verze\"/>
    </mc:Choice>
  </mc:AlternateContent>
  <xr:revisionPtr revIDLastSave="0" documentId="13_ncr:1_{D5CE0BF7-3A36-483E-BED5-08F3D21E23A8}" xr6:coauthVersionLast="47" xr6:coauthVersionMax="47" xr10:uidLastSave="{00000000-0000-0000-0000-000000000000}"/>
  <workbookProtection workbookAlgorithmName="SHA-512" workbookHashValue="Ca7uiL/GW56iSPXIXrUe8IDPkujSHIdqZ5GYwmtlkR5Woikoo2IgbCokw7kvzI7ZzZRHAxAOX4A3FdpQku777g==" workbookSaltValue="+aayR+GMtN3m49L4LT1PkA==" workbookSpinCount="100000" lockStructure="1"/>
  <bookViews>
    <workbookView xWindow="-104" yWindow="-104" windowWidth="39836" windowHeight="16071" xr2:uid="{6E259A4A-866D-4064-B403-3DB6AE4A6CDC}"/>
  </bookViews>
  <sheets>
    <sheet name="Hodnocení" sheetId="3" r:id="rId1"/>
    <sheet name="Ekonomika" sheetId="2" r:id="rId2"/>
  </sheets>
  <definedNames>
    <definedName name="_xlnm._FilterDatabase" localSheetId="1" hidden="1">Ekonomika!$G$1:$H$81</definedName>
    <definedName name="_Hlk163725810" localSheetId="0">Hodnocení!$B$56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F28" i="3"/>
  <c r="D61" i="2"/>
  <c r="D59" i="2"/>
  <c r="D58" i="2"/>
  <c r="D57" i="2"/>
  <c r="D52" i="2"/>
  <c r="D60" i="2"/>
  <c r="D51" i="2"/>
  <c r="D55" i="2"/>
  <c r="D47" i="2"/>
  <c r="D44" i="2"/>
  <c r="D43" i="2"/>
  <c r="D42" i="2"/>
  <c r="D38" i="2"/>
  <c r="D37" i="2"/>
  <c r="D36" i="2"/>
  <c r="D35" i="2"/>
  <c r="D34" i="2"/>
  <c r="D31" i="2"/>
  <c r="D30" i="2"/>
  <c r="D28" i="2"/>
  <c r="D27" i="2"/>
  <c r="D26" i="2"/>
  <c r="D25" i="2"/>
  <c r="D24" i="2"/>
  <c r="D23" i="2"/>
  <c r="D22" i="2"/>
  <c r="D7" i="3"/>
  <c r="E39" i="3" s="1" a="1"/>
  <c r="E39" i="3" s="1"/>
  <c r="AE5" i="2"/>
  <c r="AE6" i="2"/>
  <c r="AE4" i="2"/>
  <c r="AC5" i="2"/>
  <c r="AC6" i="2"/>
  <c r="AC4" i="2"/>
  <c r="Z5" i="2"/>
  <c r="Z6" i="2"/>
  <c r="Z4" i="2"/>
  <c r="W5" i="2"/>
  <c r="W6" i="2"/>
  <c r="W7" i="2"/>
  <c r="W8" i="2"/>
  <c r="W9" i="2"/>
  <c r="W4" i="2"/>
  <c r="T5" i="2"/>
  <c r="T6" i="2"/>
  <c r="T7" i="2"/>
  <c r="T8" i="2"/>
  <c r="T9" i="2"/>
  <c r="T4" i="2"/>
  <c r="F2" i="2"/>
  <c r="A5" i="2"/>
  <c r="A6" i="2"/>
  <c r="A7" i="2"/>
  <c r="A8" i="2"/>
  <c r="A9" i="2"/>
  <c r="A10" i="2"/>
  <c r="A11" i="2"/>
  <c r="A12" i="2"/>
  <c r="A4" i="2"/>
  <c r="F31" i="3"/>
  <c r="F33" i="3"/>
  <c r="F30" i="3"/>
  <c r="F32" i="3" s="1"/>
  <c r="F29" i="3"/>
  <c r="F26" i="3"/>
  <c r="F36" i="3"/>
  <c r="F38" i="3" s="1"/>
  <c r="F34" i="3"/>
  <c r="D41" i="2" l="1"/>
  <c r="D33" i="2"/>
  <c r="E33" i="3" a="1"/>
  <c r="E33" i="3" s="1"/>
  <c r="E30" i="3" a="1"/>
  <c r="E30" i="3" s="1"/>
  <c r="E31" i="3" a="1"/>
  <c r="E31" i="3" s="1"/>
  <c r="E32" i="3" a="1"/>
  <c r="E32" i="3" s="1"/>
  <c r="E34" i="3" a="1"/>
  <c r="E34" i="3" s="1"/>
  <c r="E36" i="3" s="1"/>
  <c r="E26" i="3" a="1"/>
  <c r="E26" i="3" s="1"/>
  <c r="E37" i="3" a="1"/>
  <c r="E37" i="3" s="1"/>
  <c r="E28" i="3" a="1"/>
  <c r="E28" i="3" s="1"/>
  <c r="E35" i="3" a="1"/>
  <c r="E35" i="3" s="1"/>
  <c r="E27" i="3" a="1"/>
  <c r="E27" i="3" s="1"/>
  <c r="E29" i="3" a="1"/>
  <c r="E29" i="3" s="1"/>
  <c r="F37" i="3"/>
  <c r="F39" i="3"/>
  <c r="F35" i="3"/>
  <c r="E38" i="3" l="1"/>
  <c r="AI12" i="2"/>
  <c r="AJ12" i="2" s="1"/>
  <c r="BW12" i="2"/>
  <c r="B104" i="3" s="1"/>
  <c r="BE12" i="2"/>
  <c r="BW5" i="2"/>
  <c r="B97" i="3" s="1"/>
  <c r="BW6" i="2"/>
  <c r="B98" i="3" s="1"/>
  <c r="BW7" i="2"/>
  <c r="B99" i="3" s="1"/>
  <c r="BW8" i="2"/>
  <c r="B100" i="3" s="1"/>
  <c r="BW9" i="2"/>
  <c r="B101" i="3" s="1"/>
  <c r="BW10" i="2"/>
  <c r="B102" i="3" s="1"/>
  <c r="BW11" i="2"/>
  <c r="B103" i="3" s="1"/>
  <c r="BW4" i="2"/>
  <c r="B96" i="3" s="1"/>
  <c r="BA5" i="2" l="1"/>
  <c r="BA6" i="2"/>
  <c r="BA4" i="2"/>
  <c r="AO10" i="2"/>
  <c r="AO12" i="2" s="1"/>
  <c r="BC6" i="2"/>
  <c r="BC5" i="2"/>
  <c r="BC4" i="2"/>
  <c r="AD5" i="2"/>
  <c r="AD6" i="2"/>
  <c r="AD4" i="2"/>
  <c r="BB4" i="2" l="1"/>
  <c r="BB6" i="2"/>
  <c r="BB5" i="2"/>
  <c r="AY8" i="2"/>
  <c r="AY9" i="2"/>
  <c r="X8" i="2"/>
  <c r="X9" i="2"/>
  <c r="AY7" i="2"/>
  <c r="X7" i="2"/>
  <c r="U9" i="2" l="1"/>
  <c r="Y9" i="2"/>
  <c r="U7" i="2"/>
  <c r="Y7" i="2"/>
  <c r="U8" i="2"/>
  <c r="Y8" i="2"/>
  <c r="AI6" i="2"/>
  <c r="AK8" i="2"/>
  <c r="BE8" i="2"/>
  <c r="AS11" i="2"/>
  <c r="AS10" i="2" s="1"/>
  <c r="AS12" i="2" s="1"/>
  <c r="AN11" i="2"/>
  <c r="AN10" i="2"/>
  <c r="BE11" i="2"/>
  <c r="BE10" i="2"/>
  <c r="BE9" i="2"/>
  <c r="BE6" i="2"/>
  <c r="BE7" i="2"/>
  <c r="BF7" i="2" s="1"/>
  <c r="BE5" i="2"/>
  <c r="AY5" i="2"/>
  <c r="AY6" i="2"/>
  <c r="AY4" i="2"/>
  <c r="AP5" i="2"/>
  <c r="AQ5" i="2" s="1"/>
  <c r="AP6" i="2"/>
  <c r="AQ6" i="2" s="1"/>
  <c r="AP4" i="2"/>
  <c r="AQ4" i="2" s="1"/>
  <c r="AS6" i="2"/>
  <c r="AT6" i="2" s="1"/>
  <c r="AS5" i="2"/>
  <c r="AT5" i="2" s="1"/>
  <c r="AS4" i="2"/>
  <c r="AT4" i="2" s="1"/>
  <c r="AO11" i="2"/>
  <c r="AI5" i="2"/>
  <c r="G2" i="2"/>
  <c r="F6" i="2"/>
  <c r="F5" i="2"/>
  <c r="F4" i="2"/>
  <c r="AJ6" i="2" l="1"/>
  <c r="BF6" i="2" s="1"/>
  <c r="AN12" i="2"/>
  <c r="AT12" i="2" s="1"/>
  <c r="AU12" i="2" s="1"/>
  <c r="AT10" i="2"/>
  <c r="AU10" i="2" s="1"/>
  <c r="G11" i="2"/>
  <c r="G12" i="2"/>
  <c r="AZ7" i="2"/>
  <c r="AH8" i="2"/>
  <c r="AZ9" i="2"/>
  <c r="AH7" i="2"/>
  <c r="AH9" i="2"/>
  <c r="AZ8" i="2"/>
  <c r="AT11" i="2"/>
  <c r="AU11" i="2" s="1"/>
  <c r="G7" i="2"/>
  <c r="G8" i="2"/>
  <c r="G9" i="2"/>
  <c r="G10" i="2"/>
  <c r="BD6" i="2"/>
  <c r="AV6" i="2"/>
  <c r="AR6" i="2"/>
  <c r="BD5" i="2"/>
  <c r="BD4" i="2"/>
  <c r="AR5" i="2"/>
  <c r="AR4" i="2"/>
  <c r="AF6" i="2"/>
  <c r="AG6" i="2" s="1"/>
  <c r="AA6" i="2"/>
  <c r="AB6" i="2" s="1"/>
  <c r="X6" i="2"/>
  <c r="AJ5" i="2"/>
  <c r="BF5" i="2" s="1"/>
  <c r="AA5" i="2"/>
  <c r="AB5" i="2" s="1"/>
  <c r="AA4" i="2"/>
  <c r="AB4" i="2" s="1"/>
  <c r="X5" i="2"/>
  <c r="X4" i="2"/>
  <c r="AF5" i="2"/>
  <c r="AG5" i="2" s="1"/>
  <c r="AF4" i="2"/>
  <c r="AG4" i="2" s="1"/>
  <c r="AK7" i="2"/>
  <c r="AV5" i="2"/>
  <c r="AV4" i="2"/>
  <c r="D29" i="2"/>
  <c r="AK12" i="2" s="1"/>
  <c r="AK9" i="2"/>
  <c r="AV11" i="2" l="1"/>
  <c r="AW11" i="2" s="1"/>
  <c r="AL12" i="2"/>
  <c r="AV12" i="2"/>
  <c r="AW12" i="2" s="1"/>
  <c r="AL9" i="2"/>
  <c r="BG9" i="2" s="1"/>
  <c r="AL7" i="2"/>
  <c r="BG7" i="2" s="1"/>
  <c r="Y5" i="2"/>
  <c r="AH5" i="2" s="1"/>
  <c r="U5" i="2"/>
  <c r="Y6" i="2"/>
  <c r="AH6" i="2" s="1"/>
  <c r="U6" i="2"/>
  <c r="Y4" i="2"/>
  <c r="AH4" i="2" s="1"/>
  <c r="U4" i="2"/>
  <c r="AL8" i="2"/>
  <c r="AU8" i="2"/>
  <c r="AW8" i="2" s="1"/>
  <c r="AU7" i="2"/>
  <c r="AW7" i="2" s="1"/>
  <c r="AU9" i="2"/>
  <c r="AW9" i="2" s="1"/>
  <c r="AK11" i="2"/>
  <c r="AL11" i="2" s="1"/>
  <c r="AK10" i="2"/>
  <c r="AL10" i="2" s="1"/>
  <c r="BG10" i="2" s="1"/>
  <c r="AW6" i="2"/>
  <c r="AW5" i="2"/>
  <c r="AW4" i="2"/>
  <c r="AV10" i="2"/>
  <c r="AW10" i="2" s="1"/>
  <c r="BG11" i="2" l="1"/>
  <c r="BK11" i="2" s="1"/>
  <c r="BM11" i="2" s="1"/>
  <c r="BG12" i="2"/>
  <c r="BI12" i="2" s="1"/>
  <c r="AZ4" i="2"/>
  <c r="BG4" i="2" s="1"/>
  <c r="BG8" i="2"/>
  <c r="BJ8" i="2" s="1"/>
  <c r="AZ5" i="2"/>
  <c r="BG5" i="2" s="1"/>
  <c r="AZ6" i="2"/>
  <c r="BG6" i="2" s="1"/>
  <c r="BI7" i="2"/>
  <c r="BI9" i="2"/>
  <c r="BJ9" i="2"/>
  <c r="BK9" i="2"/>
  <c r="BM9" i="2" s="1"/>
  <c r="AL6" i="2"/>
  <c r="BK10" i="2"/>
  <c r="BM10" i="2" s="1"/>
  <c r="BK7" i="2"/>
  <c r="BM7" i="2" s="1"/>
  <c r="BI10" i="2"/>
  <c r="BJ10" i="2"/>
  <c r="AL5" i="2"/>
  <c r="AL4" i="2"/>
  <c r="BJ7" i="2"/>
  <c r="BI11" i="2" l="1"/>
  <c r="BJ11" i="2"/>
  <c r="BJ12" i="2"/>
  <c r="BK12" i="2"/>
  <c r="BM12" i="2" s="1"/>
  <c r="BK8" i="2"/>
  <c r="BM8" i="2" s="1"/>
  <c r="BI8" i="2"/>
  <c r="BJ6" i="2"/>
  <c r="BI4" i="2"/>
  <c r="BK6" i="2"/>
  <c r="BM6" i="2" s="1"/>
  <c r="BI6" i="2"/>
  <c r="BJ4" i="2"/>
  <c r="BJ5" i="2"/>
  <c r="BK4" i="2"/>
  <c r="BM4" i="2" s="1"/>
  <c r="BI5" i="2"/>
  <c r="BK5" i="2"/>
  <c r="BM5" i="2" s="1"/>
  <c r="BM15" i="2" l="1"/>
  <c r="BN4" i="2" s="1"/>
  <c r="BM16" i="2"/>
  <c r="BM18" i="2" l="1"/>
  <c r="BQ6" i="2"/>
  <c r="BQ5" i="2"/>
  <c r="BQ4" i="2"/>
  <c r="BQ12" i="2"/>
  <c r="BQ10" i="2"/>
  <c r="BQ8" i="2"/>
  <c r="BQ11" i="2"/>
  <c r="BQ9" i="2"/>
  <c r="BQ7" i="2"/>
  <c r="BN9" i="2"/>
  <c r="BN5" i="2"/>
  <c r="BN6" i="2"/>
  <c r="BN10" i="2"/>
  <c r="BN7" i="2"/>
  <c r="BN11" i="2"/>
  <c r="BN8" i="2"/>
  <c r="BN12" i="2"/>
  <c r="BM17" i="2"/>
  <c r="BO4" i="2" s="1"/>
  <c r="BT4" i="2" s="1"/>
  <c r="BR9" i="2" l="1"/>
  <c r="BS9" i="2" s="1"/>
  <c r="BR7" i="2"/>
  <c r="BS7" i="2" s="1"/>
  <c r="BR11" i="2"/>
  <c r="BS11" i="2" s="1"/>
  <c r="BR12" i="2"/>
  <c r="BS12" i="2" s="1"/>
  <c r="BR4" i="2"/>
  <c r="BS4" i="2" s="1"/>
  <c r="BP10" i="2"/>
  <c r="BP11" i="2"/>
  <c r="BP12" i="2"/>
  <c r="BR6" i="2"/>
  <c r="BS6" i="2" s="1"/>
  <c r="BR10" i="2"/>
  <c r="BS10" i="2" s="1"/>
  <c r="BP6" i="2"/>
  <c r="BP7" i="2"/>
  <c r="BP8" i="2"/>
  <c r="BP4" i="2"/>
  <c r="BR8" i="2"/>
  <c r="BS8" i="2" s="1"/>
  <c r="BP9" i="2"/>
  <c r="BP5" i="2"/>
  <c r="BR5" i="2"/>
  <c r="BS5" i="2" s="1"/>
  <c r="BO11" i="2"/>
  <c r="BT11" i="2" s="1"/>
  <c r="BO8" i="2"/>
  <c r="BT8" i="2" s="1"/>
  <c r="BO6" i="2"/>
  <c r="BT6" i="2" s="1"/>
  <c r="BO5" i="2"/>
  <c r="BT5" i="2" s="1"/>
  <c r="BO7" i="2"/>
  <c r="BT7" i="2" s="1"/>
  <c r="BO9" i="2"/>
  <c r="BT9" i="2" s="1"/>
  <c r="BO12" i="2"/>
  <c r="BT12" i="2" s="1"/>
  <c r="BO10" i="2"/>
  <c r="BT10" i="2" s="1"/>
  <c r="BU4" i="2" l="1"/>
  <c r="BV4" i="2" s="1"/>
  <c r="C96" i="3" s="1"/>
  <c r="K26" i="3" s="1"/>
  <c r="C26" i="3" s="1"/>
  <c r="BU12" i="2"/>
  <c r="BV12" i="2" s="1"/>
  <c r="C104" i="3" s="1"/>
  <c r="K38" i="3" s="1"/>
  <c r="BU5" i="2"/>
  <c r="BV5" i="2" s="1"/>
  <c r="C97" i="3" s="1"/>
  <c r="K27" i="3" s="1"/>
  <c r="BU7" i="2"/>
  <c r="BV7" i="2" s="1"/>
  <c r="C99" i="3" s="1"/>
  <c r="K31" i="3" s="1"/>
  <c r="C31" i="3" s="1"/>
  <c r="BU9" i="2"/>
  <c r="BV9" i="2" s="1"/>
  <c r="C101" i="3" s="1"/>
  <c r="K33" i="3" s="1"/>
  <c r="C33" i="3" s="1"/>
  <c r="BU11" i="2"/>
  <c r="BV11" i="2" s="1"/>
  <c r="C103" i="3" s="1"/>
  <c r="K36" i="3" s="1"/>
  <c r="C36" i="3" s="1"/>
  <c r="BU8" i="2"/>
  <c r="BV8" i="2" s="1"/>
  <c r="C100" i="3" s="1"/>
  <c r="K32" i="3" s="1"/>
  <c r="C32" i="3" s="1"/>
  <c r="BU6" i="2"/>
  <c r="BV6" i="2" s="1"/>
  <c r="C98" i="3" s="1"/>
  <c r="K30" i="3" s="1"/>
  <c r="C30" i="3" s="1"/>
  <c r="BU10" i="2"/>
  <c r="BV10" i="2" s="1"/>
  <c r="C102" i="3" s="1"/>
  <c r="K34" i="3" s="1"/>
  <c r="K35" i="3" l="1"/>
  <c r="C35" i="3" s="1"/>
  <c r="C34" i="3"/>
  <c r="K28" i="3"/>
  <c r="C28" i="3" s="1"/>
  <c r="K29" i="3"/>
  <c r="C29" i="3" s="1"/>
  <c r="C27" i="3"/>
  <c r="K39" i="3"/>
  <c r="C39" i="3" s="1"/>
  <c r="C38" i="3"/>
  <c r="K37" i="3"/>
  <c r="C37" i="3" s="1"/>
  <c r="N35" i="3" l="1"/>
  <c r="D35" i="3" s="1"/>
  <c r="N29" i="3"/>
  <c r="D29" i="3" s="1"/>
  <c r="N36" i="3"/>
  <c r="D36" i="3" s="1"/>
  <c r="N31" i="3"/>
  <c r="D31" i="3" s="1"/>
  <c r="N38" i="3"/>
  <c r="D38" i="3" s="1"/>
  <c r="N27" i="3"/>
  <c r="D27" i="3" s="1"/>
  <c r="N39" i="3"/>
  <c r="D39" i="3" s="1"/>
  <c r="N33" i="3"/>
  <c r="D33" i="3" s="1"/>
  <c r="N37" i="3"/>
  <c r="D37" i="3" s="1"/>
  <c r="N26" i="3"/>
  <c r="D26" i="3" s="1"/>
  <c r="N34" i="3"/>
  <c r="D34" i="3" s="1"/>
  <c r="N30" i="3"/>
  <c r="D30" i="3" s="1"/>
  <c r="N28" i="3"/>
  <c r="D28" i="3" s="1"/>
  <c r="N32" i="3"/>
  <c r="D3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Vondrášková Zuzana</author>
  </authors>
  <commentList>
    <comment ref="B26" authorId="0" shapeId="0" xr:uid="{78BC8160-AFC1-4008-8D11-632FB5AAD2BE}">
      <text>
        <r>
          <rPr>
            <b/>
            <sz val="9"/>
            <color indexed="81"/>
            <rFont val="Tahoma"/>
            <family val="2"/>
            <charset val="238"/>
          </rPr>
          <t>Vondrášková Zuzana:</t>
        </r>
        <r>
          <rPr>
            <sz val="9"/>
            <color indexed="81"/>
            <rFont val="Tahoma"/>
            <family val="2"/>
            <charset val="238"/>
          </rPr>
          <t xml:space="preserve">
V tomto případě níní kam na jinou ČOV mimo obec vyvážet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<sst xmlns="http://schemas.openxmlformats.org/spreadsheetml/2006/main" count="435" uniqueCount="191">
  <si>
    <t>Zadání údajů</t>
  </si>
  <si>
    <t>Projekt:</t>
  </si>
  <si>
    <t>údaje k vyplnění - editovatelné buňky</t>
  </si>
  <si>
    <t>Realizovatelnost</t>
  </si>
  <si>
    <t>Způsob sanitace</t>
  </si>
  <si>
    <t>stávající</t>
  </si>
  <si>
    <t>novostavba</t>
  </si>
  <si>
    <t xml:space="preserve">kanalizace </t>
  </si>
  <si>
    <t>kan. gravitační</t>
  </si>
  <si>
    <t>kan. tlaková</t>
  </si>
  <si>
    <t>ČS</t>
  </si>
  <si>
    <t>DČS</t>
  </si>
  <si>
    <t>(ANO/NE)</t>
  </si>
  <si>
    <t>(km)</t>
  </si>
  <si>
    <t>počet ČS</t>
  </si>
  <si>
    <t>počet DČS</t>
  </si>
  <si>
    <t>NE</t>
  </si>
  <si>
    <t>Napojení na komunální ČOV mimo obec</t>
  </si>
  <si>
    <t>ANO</t>
  </si>
  <si>
    <t>Komunální ČOV</t>
  </si>
  <si>
    <t>Komunální kořenové čistírny</t>
  </si>
  <si>
    <t>Domovní čistírny odpadních vod</t>
  </si>
  <si>
    <t>xxx</t>
  </si>
  <si>
    <t>Domovní kořenové čistírny</t>
  </si>
  <si>
    <t>Septik se zemním filtrem</t>
  </si>
  <si>
    <t>Bezodtoká jímka – žumpa, odvoz na ČOV v obci</t>
  </si>
  <si>
    <t>Bezodtoká jímka – žumpa, odvoz na ČOV mimo obec</t>
  </si>
  <si>
    <t>Bezodtoká jímka – žumpa, odvoz na novou ČOV v obci</t>
  </si>
  <si>
    <t>Hodnocení</t>
  </si>
  <si>
    <t>Celkové hodnocení</t>
  </si>
  <si>
    <t>suma</t>
  </si>
  <si>
    <t>pořadí</t>
  </si>
  <si>
    <t>Leg. požadavky</t>
  </si>
  <si>
    <t>ochrana klimatu</t>
  </si>
  <si>
    <t>eutrofizace</t>
  </si>
  <si>
    <t>hospodaření s vodou</t>
  </si>
  <si>
    <t>(eko)toxicita</t>
  </si>
  <si>
    <t>ekonomika</t>
  </si>
  <si>
    <t>Komunální ČOV - zkrápěné biofiltry</t>
  </si>
  <si>
    <t>Komunální ČOV s napojením na centrální dispečink</t>
  </si>
  <si>
    <t>Bezodtoká jímka – žumpa, odvoz na ČOV v obci; kontrola vyvážení</t>
  </si>
  <si>
    <t>Bezodtoká jímka – žumpa, odvoz na ČOV mimo obec; kontrola vyvážení</t>
  </si>
  <si>
    <t>Bezodtoká jímka – žumpa, odvoz na novou ČOV v obci; kontrola vyvážení</t>
  </si>
  <si>
    <t>Dílčí bodové hodnocení</t>
  </si>
  <si>
    <t>Pravděpodobnost dodržení legisl. požadavků</t>
  </si>
  <si>
    <t xml:space="preserve">Komunální ČOV </t>
  </si>
  <si>
    <t>Komunální ČOV s napojením na centrální dispečink</t>
  </si>
  <si>
    <t>Domovní čistírna odpadních vod</t>
  </si>
  <si>
    <t>Domovní kořenová čistírna odpadních vod</t>
  </si>
  <si>
    <t xml:space="preserve">Septik se zemním filtrem </t>
  </si>
  <si>
    <t>Bezodtoká jímka – žumpa</t>
  </si>
  <si>
    <t xml:space="preserve">Bezodtoká jímka – žumpa se systémem kontroly vyvážení provozovatelem </t>
  </si>
  <si>
    <t>Ochrana klimatu</t>
  </si>
  <si>
    <t>Body</t>
  </si>
  <si>
    <t>Napojení na ČOV mimo obec</t>
  </si>
  <si>
    <t>Komunální ČOV – aktivace s dosazovací nádrží nebo SBR</t>
  </si>
  <si>
    <t>Komunální ČOV – zkrápěné biofiltry</t>
  </si>
  <si>
    <t>Domovní čistírna odpadních vod (DČOV)</t>
  </si>
  <si>
    <t>Kořenové čistírny</t>
  </si>
  <si>
    <t>Eutrofizace</t>
  </si>
  <si>
    <t>Vypuštění OV s limitem na celkový dusík a fosfor</t>
  </si>
  <si>
    <t>Vypuštění OV s limitem na amoniakální dusík a fosfor</t>
  </si>
  <si>
    <t xml:space="preserve">Vypuštění OV s limitem na amoniakální dusík </t>
  </si>
  <si>
    <t>Vypuštění OV s limitem na celkový fosfor (bez limitu na dusík)</t>
  </si>
  <si>
    <t xml:space="preserve">Opatření k hospodaření s vodou </t>
  </si>
  <si>
    <t xml:space="preserve">Body </t>
  </si>
  <si>
    <t>Projekt obsahuje využití šedých vod nebo recyklace vody</t>
  </si>
  <si>
    <t>Projekt obsahuje prvky hospodaření se srážkovými vodami – kořenová ČOV, mokřad, zelená střecha, propustné plochy, regulace srážkového odtoku, záchyt a využití srážkové vody apod.</t>
  </si>
  <si>
    <t xml:space="preserve">Toxicita a ekotoxicita </t>
  </si>
  <si>
    <t>Vyčištěná odpadní vody je využívána tak, že může dojít k jejímu kontaktu s veřejností (např. zálivka veřejné zeleně, mytí ulic, napouštění nádrže) a je zajištěna její dezinfekce</t>
  </si>
  <si>
    <t>Úroveň soběstačnosti dle směrnice UWWTD</t>
  </si>
  <si>
    <t>Nad 100%</t>
  </si>
  <si>
    <t>Ekonomické hodnocení - tento projekt</t>
  </si>
  <si>
    <t>Pozn.</t>
  </si>
  <si>
    <t>počet EO</t>
  </si>
  <si>
    <t>počet jednotek</t>
  </si>
  <si>
    <t>stavba</t>
  </si>
  <si>
    <t>provoz</t>
  </si>
  <si>
    <t>obnova</t>
  </si>
  <si>
    <t>10 let</t>
  </si>
  <si>
    <t>15 let</t>
  </si>
  <si>
    <t>20 let</t>
  </si>
  <si>
    <t>body</t>
  </si>
  <si>
    <t>hodnota</t>
  </si>
  <si>
    <t>kanalizace gravitační</t>
  </si>
  <si>
    <t>kanalizace tlaková</t>
  </si>
  <si>
    <t>ČOV</t>
  </si>
  <si>
    <t>Kč/jedn.</t>
  </si>
  <si>
    <t>ČOV/čištění</t>
  </si>
  <si>
    <t>Kč</t>
  </si>
  <si>
    <t>km kanal grav</t>
  </si>
  <si>
    <t>Kč/m</t>
  </si>
  <si>
    <t>Kč celkem</t>
  </si>
  <si>
    <t>km kanalizace tlak</t>
  </si>
  <si>
    <t>Kč/j</t>
  </si>
  <si>
    <t>celkem</t>
  </si>
  <si>
    <t>Kč/EO</t>
  </si>
  <si>
    <t>celkem ČOV</t>
  </si>
  <si>
    <t>celkem stavba</t>
  </si>
  <si>
    <t>km</t>
  </si>
  <si>
    <t>Kč/km</t>
  </si>
  <si>
    <t>Kč/m3</t>
  </si>
  <si>
    <t>rok</t>
  </si>
  <si>
    <t>Kč/EO(Kč/vývoz)</t>
  </si>
  <si>
    <t>celkem (rok)</t>
  </si>
  <si>
    <t>kanalizace (let)</t>
  </si>
  <si>
    <t>ČS (let)</t>
  </si>
  <si>
    <t>DČS - čerp</t>
  </si>
  <si>
    <t>ČOV (let)</t>
  </si>
  <si>
    <t>náklad na kanalizační přivaděč a jeho obnovu, obnova ČOV v ceně za stočné/předanou vodu, zahrnuto čerpání</t>
  </si>
  <si>
    <t>80 % ceny dopravy a čištění proti "cizí ČOV"</t>
  </si>
  <si>
    <t>koef.</t>
  </si>
  <si>
    <t>EO</t>
  </si>
  <si>
    <t>m3/EO</t>
  </si>
  <si>
    <t>min</t>
  </si>
  <si>
    <t>přípojka/zařízení</t>
  </si>
  <si>
    <t>EO/j</t>
  </si>
  <si>
    <t>max</t>
  </si>
  <si>
    <t>vzdálenost na ČOV v místě</t>
  </si>
  <si>
    <t>rozdíl</t>
  </si>
  <si>
    <t>vzdálenost na ČOV mimo</t>
  </si>
  <si>
    <t>Stavba</t>
  </si>
  <si>
    <t>Poznámky</t>
  </si>
  <si>
    <t>cena ČOV komunální</t>
  </si>
  <si>
    <t>kořenová ČOV</t>
  </si>
  <si>
    <t>čerpací stanice do 5 l/s</t>
  </si>
  <si>
    <t>čerpadlo</t>
  </si>
  <si>
    <t>jímka bezodtoká</t>
  </si>
  <si>
    <t>jímka</t>
  </si>
  <si>
    <t>montáž</t>
  </si>
  <si>
    <t>septik + zemní filtr</t>
  </si>
  <si>
    <t>septik</t>
  </si>
  <si>
    <t>filtr</t>
  </si>
  <si>
    <t xml:space="preserve">náplň </t>
  </si>
  <si>
    <t>ČOV domovní 2-4 EO</t>
  </si>
  <si>
    <t>cena celkem</t>
  </si>
  <si>
    <t>Kořenová domovní ČOV</t>
  </si>
  <si>
    <t>Provoz</t>
  </si>
  <si>
    <t>Doprava OV/kalu</t>
  </si>
  <si>
    <t>doprava OV/kalu</t>
  </si>
  <si>
    <t>čištění převzaté OV z jímek</t>
  </si>
  <si>
    <r>
      <t xml:space="preserve">zpracování kalu </t>
    </r>
    <r>
      <rPr>
        <sz val="11"/>
        <color theme="1"/>
        <rFont val="Aptos Narrow"/>
        <family val="2"/>
      </rPr>
      <t>~</t>
    </r>
    <r>
      <rPr>
        <sz val="9.35"/>
        <color theme="1"/>
        <rFont val="Aptos Narrow"/>
        <family val="2"/>
        <charset val="238"/>
      </rPr>
      <t xml:space="preserve"> 1 vývoz jímky</t>
    </r>
  </si>
  <si>
    <t>vývozy/rok</t>
  </si>
  <si>
    <t>objem vozu</t>
  </si>
  <si>
    <t>m3</t>
  </si>
  <si>
    <t>manipulace</t>
  </si>
  <si>
    <t>Čištení OV</t>
  </si>
  <si>
    <t>převzatá z jiné kanalizace</t>
  </si>
  <si>
    <t>cena čištění na vlastní komunální ČOV</t>
  </si>
  <si>
    <t>cena čištění na vlastní komunální KČOV</t>
  </si>
  <si>
    <t>Rozbory</t>
  </si>
  <si>
    <t>Kč/rok</t>
  </si>
  <si>
    <t>Obnova</t>
  </si>
  <si>
    <t>kanalizace</t>
  </si>
  <si>
    <t>let</t>
  </si>
  <si>
    <t>zařízení</t>
  </si>
  <si>
    <t>vybírací seznam realizovatelnosti</t>
  </si>
  <si>
    <t>Kategorie</t>
  </si>
  <si>
    <t>energ. soběstačnost</t>
  </si>
  <si>
    <t>Komunální ČOV - aktivační</t>
  </si>
  <si>
    <t>Počet EO v aglomeraci</t>
  </si>
  <si>
    <t>vybírací seznam kategorií</t>
  </si>
  <si>
    <t>K I</t>
  </si>
  <si>
    <t>K II</t>
  </si>
  <si>
    <t>K III</t>
  </si>
  <si>
    <t>podíl max/min</t>
  </si>
  <si>
    <t>rozdíl min-max nad 100%</t>
  </si>
  <si>
    <t>rozdíl min-max pod 100%</t>
  </si>
  <si>
    <t>realizovatelné</t>
  </si>
  <si>
    <t>Komunální kořenová čistírna</t>
  </si>
  <si>
    <t>zdroj</t>
  </si>
  <si>
    <t>indexace</t>
  </si>
  <si>
    <t>rešerše</t>
  </si>
  <si>
    <t>Ostatní údaje a ceny stanoveny na základě internetové rešerše a/nebo odborného odhadu</t>
  </si>
  <si>
    <t>aktualizace MP</t>
  </si>
  <si>
    <t>Indexy</t>
  </si>
  <si>
    <t>ICSP</t>
  </si>
  <si>
    <t>Ceny výrobců | Statistika</t>
  </si>
  <si>
    <t xml:space="preserve">Index cen stavebních prací </t>
  </si>
  <si>
    <t>Míra inflace vyjádřená přírůstkem indexu spotřebitelských cen</t>
  </si>
  <si>
    <t>MISC</t>
  </si>
  <si>
    <t>Index cen tržních služeb – meziroční přírůstek</t>
  </si>
  <si>
    <t>Inflace, spotřebitelské ceny | Statistika</t>
  </si>
  <si>
    <t>ICTS</t>
  </si>
  <si>
    <t>-</t>
  </si>
  <si>
    <t>zásak/přípojka</t>
  </si>
  <si>
    <t>montáž/zprovoznění</t>
  </si>
  <si>
    <t>odvedení vody</t>
  </si>
  <si>
    <t>Cena ČOV -  stanoveno podle MP MZe (jako průměrná cena kategorií 100-1000 EO)</t>
  </si>
  <si>
    <t>MP MZe</t>
  </si>
  <si>
    <t>Výchozí hodoty (=1) uvedeny k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</si>
</sst>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  <numFmt numFmtId="165" formatCode="_-* #,##0\ &quot;Kč&quot;_-;\-* #,##0\ &quot;Kč&quot;_-;_-* &quot;-&quot;??\ &quot;Kč&quot;_-;_-@_-"/>
    <numFmt numFmtId="166" formatCode="_-* #,##0.00\ _K_č_-;\-* #,##0.00\ _K_č_-;_-* &quot;-&quot;??\ _K_č_-;_-@_-"/>
    <numFmt numFmtId="167" formatCode="_-* #,##0\ _K_č_-;\-* #,##0\ _K_č_-;_-* &quot;-&quot;??\ _K_č_-;_-@_-"/>
  </numFmts>
  <fonts count="3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</font>
    <font>
      <sz val="9.35"/>
      <color theme="1"/>
      <name val="Aptos Narrow"/>
      <family val="2"/>
      <charset val="238"/>
    </font>
    <font>
      <sz val="11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i/>
      <sz val="11"/>
      <color theme="1"/>
      <name val="Aptos Narrow"/>
      <family val="2"/>
      <scheme val="minor"/>
    </font>
    <font>
      <sz val="18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0"/>
      <name val="Calibri"/>
      <family val="2"/>
      <charset val="238"/>
    </font>
    <font>
      <sz val="11"/>
      <color theme="2"/>
      <name val="Calibri"/>
      <family val="2"/>
      <charset val="238"/>
    </font>
    <font>
      <sz val="8"/>
      <color rgb="FF20254D"/>
      <name val="Roboto"/>
    </font>
    <font>
      <u/>
      <sz val="11"/>
      <color theme="10"/>
      <name val="Aptos Narrow"/>
      <family val="2"/>
      <charset val="238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2" borderId="0" xfId="0" applyFill="1"/>
    <xf numFmtId="0" fontId="3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 vertical="center" wrapText="1" indent="1"/>
    </xf>
    <xf numFmtId="164" fontId="0" fillId="0" borderId="0" xfId="0" applyNumberFormat="1"/>
    <xf numFmtId="0" fontId="0" fillId="4" borderId="0" xfId="0" applyFill="1"/>
    <xf numFmtId="164" fontId="0" fillId="4" borderId="0" xfId="1" applyNumberFormat="1" applyFont="1" applyFill="1"/>
    <xf numFmtId="164" fontId="3" fillId="0" borderId="0" xfId="1" applyNumberFormat="1" applyFont="1"/>
    <xf numFmtId="164" fontId="3" fillId="0" borderId="0" xfId="0" applyNumberFormat="1" applyFont="1"/>
    <xf numFmtId="0" fontId="3" fillId="4" borderId="0" xfId="0" applyFont="1" applyFill="1"/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164" fontId="5" fillId="0" borderId="0" xfId="1" applyNumberFormat="1" applyFont="1" applyFill="1"/>
    <xf numFmtId="164" fontId="5" fillId="0" borderId="0" xfId="1" applyNumberFormat="1" applyFont="1"/>
    <xf numFmtId="164" fontId="9" fillId="0" borderId="0" xfId="1" applyNumberFormat="1" applyFont="1"/>
    <xf numFmtId="164" fontId="3" fillId="4" borderId="0" xfId="1" applyNumberFormat="1" applyFont="1" applyFill="1"/>
    <xf numFmtId="164" fontId="3" fillId="0" borderId="0" xfId="1" applyNumberFormat="1" applyFont="1" applyFill="1"/>
    <xf numFmtId="0" fontId="10" fillId="0" borderId="0" xfId="0" applyFont="1"/>
    <xf numFmtId="164" fontId="10" fillId="0" borderId="0" xfId="1" applyNumberFormat="1" applyFont="1"/>
    <xf numFmtId="0" fontId="11" fillId="0" borderId="0" xfId="0" applyFont="1"/>
    <xf numFmtId="0" fontId="12" fillId="0" borderId="0" xfId="0" applyFont="1"/>
    <xf numFmtId="164" fontId="12" fillId="0" borderId="0" xfId="1" applyNumberFormat="1" applyFont="1"/>
    <xf numFmtId="44" fontId="0" fillId="0" borderId="0" xfId="2" applyFont="1"/>
    <xf numFmtId="165" fontId="0" fillId="0" borderId="0" xfId="2" applyNumberFormat="1" applyFont="1"/>
    <xf numFmtId="0" fontId="0" fillId="0" borderId="0" xfId="1" applyNumberFormat="1" applyFont="1"/>
    <xf numFmtId="0" fontId="15" fillId="0" borderId="1" xfId="0" applyFont="1" applyBorder="1" applyAlignment="1">
      <alignment horizontal="left" vertical="center" indent="1"/>
    </xf>
    <xf numFmtId="0" fontId="16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 indent="1"/>
    </xf>
    <xf numFmtId="0" fontId="17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right" vertical="center" indent="1"/>
    </xf>
    <xf numFmtId="0" fontId="14" fillId="0" borderId="1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9" fontId="13" fillId="0" borderId="3" xfId="0" applyNumberFormat="1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1" fontId="13" fillId="0" borderId="2" xfId="0" applyNumberFormat="1" applyFont="1" applyBorder="1" applyAlignment="1">
      <alignment horizontal="justify" vertical="center" wrapText="1"/>
    </xf>
    <xf numFmtId="1" fontId="13" fillId="0" borderId="4" xfId="0" applyNumberFormat="1" applyFont="1" applyBorder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0" fillId="5" borderId="0" xfId="0" applyFill="1"/>
    <xf numFmtId="164" fontId="0" fillId="5" borderId="0" xfId="1" applyNumberFormat="1" applyFont="1" applyFill="1"/>
    <xf numFmtId="0" fontId="14" fillId="0" borderId="0" xfId="0" applyFont="1"/>
    <xf numFmtId="164" fontId="13" fillId="0" borderId="0" xfId="1" applyNumberFormat="1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4" fillId="3" borderId="0" xfId="0" applyFont="1" applyFill="1" applyAlignment="1">
      <alignment horizontal="left"/>
    </xf>
    <xf numFmtId="0" fontId="19" fillId="0" borderId="5" xfId="0" applyFont="1" applyBorder="1"/>
    <xf numFmtId="0" fontId="13" fillId="0" borderId="5" xfId="0" applyFont="1" applyBorder="1"/>
    <xf numFmtId="0" fontId="13" fillId="0" borderId="5" xfId="0" applyFont="1" applyBorder="1" applyAlignment="1">
      <alignment textRotation="90"/>
    </xf>
    <xf numFmtId="0" fontId="13" fillId="0" borderId="5" xfId="0" applyFont="1" applyBorder="1" applyAlignment="1">
      <alignment wrapText="1"/>
    </xf>
    <xf numFmtId="0" fontId="13" fillId="2" borderId="5" xfId="0" applyFont="1" applyFill="1" applyBorder="1" applyAlignment="1">
      <alignment wrapText="1"/>
    </xf>
    <xf numFmtId="1" fontId="13" fillId="2" borderId="5" xfId="0" applyNumberFormat="1" applyFont="1" applyFill="1" applyBorder="1" applyAlignment="1">
      <alignment wrapText="1"/>
    </xf>
    <xf numFmtId="1" fontId="13" fillId="0" borderId="5" xfId="0" applyNumberFormat="1" applyFont="1" applyBorder="1" applyAlignment="1">
      <alignment wrapText="1"/>
    </xf>
    <xf numFmtId="0" fontId="13" fillId="2" borderId="5" xfId="0" applyFont="1" applyFill="1" applyBorder="1"/>
    <xf numFmtId="164" fontId="13" fillId="0" borderId="5" xfId="1" applyNumberFormat="1" applyFont="1" applyFill="1" applyBorder="1"/>
    <xf numFmtId="164" fontId="13" fillId="4" borderId="5" xfId="1" applyNumberFormat="1" applyFont="1" applyFill="1" applyBorder="1"/>
    <xf numFmtId="0" fontId="2" fillId="0" borderId="5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0" fontId="23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26" fillId="0" borderId="0" xfId="0" applyFont="1"/>
    <xf numFmtId="0" fontId="27" fillId="0" borderId="0" xfId="0" applyFont="1" applyAlignment="1">
      <alignment wrapText="1"/>
    </xf>
    <xf numFmtId="0" fontId="27" fillId="0" borderId="0" xfId="0" applyFont="1"/>
    <xf numFmtId="43" fontId="0" fillId="0" borderId="0" xfId="1" applyFont="1"/>
    <xf numFmtId="164" fontId="0" fillId="3" borderId="0" xfId="1" applyNumberFormat="1" applyFont="1" applyFill="1"/>
    <xf numFmtId="166" fontId="0" fillId="0" borderId="0" xfId="0" applyNumberFormat="1"/>
    <xf numFmtId="167" fontId="0" fillId="4" borderId="0" xfId="0" applyNumberFormat="1" applyFill="1"/>
    <xf numFmtId="0" fontId="28" fillId="0" borderId="0" xfId="0" applyFont="1"/>
    <xf numFmtId="0" fontId="29" fillId="0" borderId="0" xfId="3"/>
    <xf numFmtId="0" fontId="13" fillId="3" borderId="5" xfId="0" applyFont="1" applyFill="1" applyBorder="1" applyAlignment="1" applyProtection="1">
      <alignment wrapText="1"/>
      <protection locked="0"/>
    </xf>
    <xf numFmtId="0" fontId="13" fillId="3" borderId="5" xfId="0" applyFont="1" applyFill="1" applyBorder="1" applyProtection="1">
      <protection locked="0"/>
    </xf>
    <xf numFmtId="164" fontId="13" fillId="3" borderId="5" xfId="1" applyNumberFormat="1" applyFont="1" applyFill="1" applyBorder="1" applyProtection="1">
      <protection locked="0"/>
    </xf>
    <xf numFmtId="0" fontId="13" fillId="3" borderId="5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left"/>
      <protection locked="0"/>
    </xf>
    <xf numFmtId="1" fontId="0" fillId="0" borderId="0" xfId="0" applyNumberFormat="1"/>
    <xf numFmtId="1" fontId="3" fillId="0" borderId="0" xfId="0" applyNumberFormat="1" applyFont="1"/>
    <xf numFmtId="1" fontId="30" fillId="0" borderId="0" xfId="0" applyNumberFormat="1" applyFont="1"/>
    <xf numFmtId="1" fontId="32" fillId="0" borderId="0" xfId="0" applyNumberFormat="1" applyFont="1"/>
    <xf numFmtId="1" fontId="31" fillId="0" borderId="0" xfId="0" applyNumberFormat="1" applyFont="1"/>
    <xf numFmtId="1" fontId="0" fillId="4" borderId="0" xfId="0" applyNumberFormat="1" applyFill="1"/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0" fontId="14" fillId="0" borderId="5" xfId="0" applyFont="1" applyBorder="1" applyAlignment="1">
      <alignment horizontal="left" vertical="top"/>
    </xf>
  </cellXfs>
  <cellStyles count="4">
    <cellStyle name="Čárka" xfId="1" builtinId="3"/>
    <cellStyle name="Hypertextový odkaz" xfId="3" builtinId="8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29261</xdr:colOff>
      <xdr:row>2</xdr:row>
      <xdr:rowOff>29261</xdr:rowOff>
    </xdr:from>
    <xdr:to>
      <xdr:col>6</xdr:col>
      <xdr:colOff>651054</xdr:colOff>
      <xdr:row>3</xdr:row>
      <xdr:rowOff>380391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83AC58E-6420-E60A-98C3-7A2147C8B723}"/>
            </a:ext>
          </a:extLst>
        </xdr:cNvPr>
        <xdr:cNvSpPr txBox="1"/>
      </xdr:nvSpPr>
      <xdr:spPr>
        <a:xfrm>
          <a:off x="7410298" y="504749"/>
          <a:ext cx="1338682" cy="534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verze 2.01</a:t>
          </a:r>
        </a:p>
        <a:p>
          <a:r>
            <a:rPr lang="cs-CZ" sz="1100"/>
            <a:t>červenec 2025</a:t>
          </a:r>
        </a:p>
        <a:p>
          <a:endParaRPr lang="cs-CZ" sz="1100"/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su.gov.cz/inflace-spotrebitelske-ceny?pocet=10&amp;start=0&amp;podskupiny=012&amp;razeni=-datumVydani" TargetMode="External"/><Relationship Id="rId2" Type="http://schemas.openxmlformats.org/officeDocument/2006/relationships/hyperlink" Target="https://csu.gov.cz/ceny-vyrobcu?pocet=10&amp;start=0&amp;podskupiny=011&amp;razeni=-datumVydani" TargetMode="External"/><Relationship Id="rId1" Type="http://schemas.openxmlformats.org/officeDocument/2006/relationships/hyperlink" Target="https://csu.gov.cz/ceny-vyrobcu?pocet=10&amp;start=0&amp;podskupiny=011&amp;razeni=-datumVyd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5363-342B-495C-95F4-0AADDB92FD5B}">
  <dimension ref="A2:N104"/>
  <sheetViews>
    <sheetView tabSelected="1" topLeftCell="A20" workbookViewId="0">
      <selection activeCell="G26" sqref="G26"/>
    </sheetView>
  </sheetViews>
  <sheetFormatPr defaultColWidth="8.796875" defaultRowHeight="14.4" x14ac:dyDescent="0.3"/>
  <cols>
    <col min="1" max="1" width="14.19921875" style="45" customWidth="1"/>
    <col min="2" max="2" width="56.296875" style="45" customWidth="1"/>
    <col min="3" max="3" width="9.69921875" style="45" customWidth="1"/>
    <col min="4" max="4" width="7.8984375" style="45" customWidth="1"/>
    <col min="5" max="5" width="12.796875" style="45" customWidth="1"/>
    <col min="6" max="6" width="9.796875" style="45" customWidth="1"/>
    <col min="7" max="7" width="9.296875" style="45" customWidth="1"/>
    <col min="8" max="8" width="9.796875" style="45" customWidth="1"/>
    <col min="9" max="9" width="8.59765625" style="45" customWidth="1"/>
    <col min="10" max="10" width="8.796875" style="45" customWidth="1"/>
    <col min="11" max="11" width="6.59765625" style="45" customWidth="1"/>
    <col min="12" max="13" width="16.296875" style="45" customWidth="1"/>
    <col min="14" max="14" width="14.09765625" style="45" hidden="1" customWidth="1"/>
    <col min="15" max="15" width="14.296875" style="45" customWidth="1"/>
    <col min="16" max="16384" width="8.796875" style="45"/>
  </cols>
  <sheetData>
    <row r="2" spans="1:13" ht="23.05" x14ac:dyDescent="0.45">
      <c r="A2" s="53" t="s">
        <v>0</v>
      </c>
    </row>
    <row r="4" spans="1:13" ht="30.55" x14ac:dyDescent="0.45">
      <c r="A4" s="45" t="s">
        <v>1</v>
      </c>
      <c r="B4" s="51"/>
      <c r="C4" s="71" t="s">
        <v>160</v>
      </c>
    </row>
    <row r="5" spans="1:13" ht="23.05" x14ac:dyDescent="0.45">
      <c r="B5" s="51"/>
      <c r="C5" s="85">
        <v>100</v>
      </c>
    </row>
    <row r="6" spans="1:13" ht="23.05" x14ac:dyDescent="0.45">
      <c r="B6" s="51"/>
      <c r="C6" s="70" t="s">
        <v>157</v>
      </c>
    </row>
    <row r="7" spans="1:13" ht="23.05" x14ac:dyDescent="0.45">
      <c r="B7" s="51"/>
      <c r="C7" s="85" t="s">
        <v>164</v>
      </c>
      <c r="D7" s="72">
        <f>MATCH(C7,C48:E48,0)</f>
        <v>3</v>
      </c>
    </row>
    <row r="8" spans="1:13" x14ac:dyDescent="0.3">
      <c r="A8" s="54"/>
      <c r="B8" s="69" t="s">
        <v>2</v>
      </c>
    </row>
    <row r="9" spans="1:13" ht="23.05" x14ac:dyDescent="0.45">
      <c r="B9" s="51"/>
    </row>
    <row r="10" spans="1:13" x14ac:dyDescent="0.3">
      <c r="A10" s="93" t="s">
        <v>3</v>
      </c>
      <c r="B10" s="94" t="s">
        <v>4</v>
      </c>
      <c r="C10" s="56"/>
      <c r="D10" s="66" t="s">
        <v>5</v>
      </c>
      <c r="E10" s="92" t="s">
        <v>6</v>
      </c>
      <c r="F10" s="92"/>
      <c r="G10" s="92"/>
      <c r="H10" s="92"/>
      <c r="I10" s="49"/>
      <c r="J10" s="49"/>
      <c r="K10" s="49"/>
      <c r="L10" s="49"/>
      <c r="M10" s="49"/>
    </row>
    <row r="11" spans="1:13" x14ac:dyDescent="0.3">
      <c r="A11" s="93"/>
      <c r="B11" s="94"/>
      <c r="C11" s="56"/>
      <c r="D11" s="56" t="s">
        <v>7</v>
      </c>
      <c r="E11" s="56" t="s">
        <v>8</v>
      </c>
      <c r="F11" s="56" t="s">
        <v>9</v>
      </c>
      <c r="G11" s="63" t="s">
        <v>10</v>
      </c>
      <c r="H11" s="64" t="s">
        <v>11</v>
      </c>
      <c r="I11" s="49"/>
      <c r="J11" s="49"/>
      <c r="L11" s="49"/>
    </row>
    <row r="12" spans="1:13" ht="27.4" customHeight="1" x14ac:dyDescent="0.3">
      <c r="A12" s="67" t="s">
        <v>12</v>
      </c>
      <c r="B12" s="68"/>
      <c r="C12" s="56"/>
      <c r="D12" s="56" t="s">
        <v>13</v>
      </c>
      <c r="E12" s="56" t="s">
        <v>13</v>
      </c>
      <c r="F12" s="56" t="s">
        <v>13</v>
      </c>
      <c r="G12" s="63" t="s">
        <v>14</v>
      </c>
      <c r="H12" s="64" t="s">
        <v>15</v>
      </c>
      <c r="I12" s="49"/>
      <c r="J12" s="49"/>
      <c r="L12" s="49"/>
    </row>
    <row r="13" spans="1:13" ht="27.4" customHeight="1" x14ac:dyDescent="0.3">
      <c r="A13" s="84" t="s">
        <v>18</v>
      </c>
      <c r="B13" s="65" t="s">
        <v>17</v>
      </c>
      <c r="C13" s="56"/>
      <c r="D13" s="82"/>
      <c r="E13" s="82"/>
      <c r="F13" s="82"/>
      <c r="G13" s="83"/>
      <c r="H13" s="83"/>
      <c r="I13" s="49"/>
      <c r="J13" s="49"/>
      <c r="L13" s="49"/>
    </row>
    <row r="14" spans="1:13" ht="20.9" customHeight="1" x14ac:dyDescent="0.3">
      <c r="A14" s="84" t="s">
        <v>18</v>
      </c>
      <c r="B14" s="65" t="s">
        <v>19</v>
      </c>
      <c r="C14" s="56"/>
      <c r="D14" s="82"/>
      <c r="E14" s="82"/>
      <c r="F14" s="82"/>
      <c r="G14" s="83"/>
      <c r="H14" s="83"/>
      <c r="I14" s="49"/>
      <c r="J14" s="49"/>
      <c r="L14" s="49"/>
    </row>
    <row r="15" spans="1:13" ht="21.45" customHeight="1" x14ac:dyDescent="0.3">
      <c r="A15" s="84" t="s">
        <v>18</v>
      </c>
      <c r="B15" s="65" t="s">
        <v>169</v>
      </c>
      <c r="C15" s="56"/>
      <c r="D15" s="82"/>
      <c r="E15" s="82"/>
      <c r="F15" s="82"/>
      <c r="G15" s="83"/>
      <c r="H15" s="83"/>
      <c r="I15" s="49"/>
      <c r="J15" s="49"/>
      <c r="L15" s="49"/>
    </row>
    <row r="16" spans="1:13" s="44" customFormat="1" ht="29.55" customHeight="1" x14ac:dyDescent="0.3">
      <c r="A16" s="84" t="s">
        <v>18</v>
      </c>
      <c r="B16" s="65" t="s">
        <v>21</v>
      </c>
      <c r="C16" s="58"/>
      <c r="D16" s="82"/>
      <c r="E16" s="82"/>
      <c r="F16" s="56" t="s">
        <v>22</v>
      </c>
      <c r="G16" s="56" t="s">
        <v>22</v>
      </c>
      <c r="H16" s="56" t="s">
        <v>22</v>
      </c>
      <c r="I16" s="49"/>
      <c r="J16" s="49"/>
      <c r="K16" s="49"/>
      <c r="L16" s="49"/>
      <c r="M16" s="49"/>
    </row>
    <row r="17" spans="1:14" s="44" customFormat="1" ht="29.55" customHeight="1" x14ac:dyDescent="0.3">
      <c r="A17" s="84" t="s">
        <v>18</v>
      </c>
      <c r="B17" s="65" t="s">
        <v>23</v>
      </c>
      <c r="C17" s="58"/>
      <c r="D17" s="82"/>
      <c r="E17" s="82"/>
      <c r="F17" s="56" t="s">
        <v>22</v>
      </c>
      <c r="G17" s="56" t="s">
        <v>22</v>
      </c>
      <c r="H17" s="56" t="s">
        <v>22</v>
      </c>
      <c r="I17" s="49"/>
      <c r="J17" s="49"/>
      <c r="K17" s="49"/>
      <c r="L17" s="49"/>
      <c r="M17" s="49"/>
    </row>
    <row r="18" spans="1:14" s="44" customFormat="1" ht="29.55" customHeight="1" x14ac:dyDescent="0.3">
      <c r="A18" s="84" t="s">
        <v>18</v>
      </c>
      <c r="B18" s="65" t="s">
        <v>24</v>
      </c>
      <c r="C18" s="58"/>
      <c r="D18" s="82"/>
      <c r="E18" s="82"/>
      <c r="F18" s="56" t="s">
        <v>22</v>
      </c>
      <c r="G18" s="56" t="s">
        <v>22</v>
      </c>
      <c r="H18" s="56" t="s">
        <v>22</v>
      </c>
      <c r="I18" s="49"/>
      <c r="J18" s="49"/>
      <c r="K18" s="49"/>
      <c r="L18" s="49"/>
      <c r="M18" s="49"/>
    </row>
    <row r="19" spans="1:14" s="44" customFormat="1" ht="29.55" customHeight="1" x14ac:dyDescent="0.3">
      <c r="A19" s="84" t="s">
        <v>18</v>
      </c>
      <c r="B19" s="65" t="s">
        <v>25</v>
      </c>
      <c r="C19" s="58"/>
      <c r="D19" s="56" t="s">
        <v>22</v>
      </c>
      <c r="E19" s="56" t="s">
        <v>22</v>
      </c>
      <c r="F19" s="56" t="s">
        <v>22</v>
      </c>
      <c r="G19" s="56" t="s">
        <v>22</v>
      </c>
      <c r="H19" s="56" t="s">
        <v>22</v>
      </c>
      <c r="I19" s="49"/>
      <c r="J19" s="49"/>
      <c r="K19" s="49"/>
      <c r="L19" s="49"/>
      <c r="M19" s="49"/>
    </row>
    <row r="20" spans="1:14" s="44" customFormat="1" ht="29.55" customHeight="1" x14ac:dyDescent="0.3">
      <c r="A20" s="84" t="s">
        <v>18</v>
      </c>
      <c r="B20" s="65" t="s">
        <v>26</v>
      </c>
      <c r="C20" s="58"/>
      <c r="D20" s="56" t="s">
        <v>22</v>
      </c>
      <c r="E20" s="56" t="s">
        <v>22</v>
      </c>
      <c r="F20" s="56" t="s">
        <v>22</v>
      </c>
      <c r="G20" s="56" t="s">
        <v>22</v>
      </c>
      <c r="H20" s="56" t="s">
        <v>22</v>
      </c>
      <c r="I20" s="49"/>
      <c r="J20" s="49"/>
      <c r="K20" s="49"/>
      <c r="L20" s="49"/>
      <c r="M20" s="49"/>
    </row>
    <row r="21" spans="1:14" s="44" customFormat="1" ht="29.55" customHeight="1" x14ac:dyDescent="0.3">
      <c r="A21" s="84" t="s">
        <v>18</v>
      </c>
      <c r="B21" s="65" t="s">
        <v>27</v>
      </c>
      <c r="C21" s="58"/>
      <c r="D21" s="56" t="s">
        <v>22</v>
      </c>
      <c r="E21" s="56" t="s">
        <v>22</v>
      </c>
      <c r="F21" s="56" t="s">
        <v>22</v>
      </c>
      <c r="G21" s="56" t="s">
        <v>22</v>
      </c>
      <c r="H21" s="56" t="s">
        <v>22</v>
      </c>
      <c r="I21" s="49"/>
      <c r="J21" s="49"/>
      <c r="K21" s="49"/>
      <c r="L21" s="49"/>
      <c r="M21" s="49"/>
    </row>
    <row r="22" spans="1:14" s="44" customFormat="1" ht="40.9" customHeight="1" x14ac:dyDescent="0.3"/>
    <row r="23" spans="1:14" ht="23.05" x14ac:dyDescent="0.45">
      <c r="A23" s="53" t="s">
        <v>28</v>
      </c>
    </row>
    <row r="25" spans="1:14" ht="99.65" x14ac:dyDescent="0.35">
      <c r="B25" s="55" t="s">
        <v>29</v>
      </c>
      <c r="C25" s="56" t="s">
        <v>30</v>
      </c>
      <c r="D25" s="56" t="s">
        <v>31</v>
      </c>
      <c r="E25" s="57" t="s">
        <v>32</v>
      </c>
      <c r="F25" s="57" t="s">
        <v>33</v>
      </c>
      <c r="G25" s="57" t="s">
        <v>34</v>
      </c>
      <c r="H25" s="57" t="s">
        <v>35</v>
      </c>
      <c r="I25" s="57" t="s">
        <v>36</v>
      </c>
      <c r="J25" s="57" t="s">
        <v>158</v>
      </c>
      <c r="K25" s="57" t="s">
        <v>37</v>
      </c>
    </row>
    <row r="26" spans="1:14" x14ac:dyDescent="0.3">
      <c r="B26" s="58" t="s">
        <v>17</v>
      </c>
      <c r="C26" s="58">
        <f>IF(K26="N/A","N/A",SUM(E26:K26))</f>
        <v>250</v>
      </c>
      <c r="D26" s="56">
        <f>IF(C26="N/A","N/A",+N26)</f>
        <v>1</v>
      </c>
      <c r="E26" s="59" cm="1">
        <f t="array" ref="E26">INDEX($C$49:$E$57,G49,$D$7)</f>
        <v>100</v>
      </c>
      <c r="F26" s="59">
        <f>+C61</f>
        <v>50</v>
      </c>
      <c r="G26" s="81"/>
      <c r="H26" s="81"/>
      <c r="I26" s="81"/>
      <c r="J26" s="81"/>
      <c r="K26" s="60">
        <f>+C96</f>
        <v>100</v>
      </c>
      <c r="N26" s="45">
        <f t="shared" ref="N26:N39" si="0">_xlfn.RANK.EQ(C26,$C$26:$C$39)</f>
        <v>1</v>
      </c>
    </row>
    <row r="27" spans="1:14" x14ac:dyDescent="0.3">
      <c r="B27" s="58" t="s">
        <v>159</v>
      </c>
      <c r="C27" s="61">
        <f t="shared" ref="C27:C39" si="1">+SUM(E27:K27)</f>
        <v>214</v>
      </c>
      <c r="D27" s="56">
        <f t="shared" ref="D27:D39" si="2">IF(C27="N/A","N/A",+N27)</f>
        <v>3</v>
      </c>
      <c r="E27" s="59" cm="1">
        <f t="array" ref="E27">INDEX($C$49:$E$57,G50,$D$7)</f>
        <v>80</v>
      </c>
      <c r="F27" s="59">
        <f>+C62</f>
        <v>50</v>
      </c>
      <c r="G27" s="81"/>
      <c r="H27" s="81"/>
      <c r="I27" s="81"/>
      <c r="J27" s="81"/>
      <c r="K27" s="60">
        <f>+C97</f>
        <v>84</v>
      </c>
      <c r="N27" s="45">
        <f t="shared" si="0"/>
        <v>3</v>
      </c>
    </row>
    <row r="28" spans="1:14" x14ac:dyDescent="0.3">
      <c r="B28" s="58" t="s">
        <v>38</v>
      </c>
      <c r="C28" s="61">
        <f t="shared" si="1"/>
        <v>203</v>
      </c>
      <c r="D28" s="56">
        <f t="shared" si="2"/>
        <v>5</v>
      </c>
      <c r="E28" s="59" cm="1">
        <f t="array" ref="E28">INDEX($C$49:$E$57,G50,$D$7)</f>
        <v>80</v>
      </c>
      <c r="F28" s="59">
        <f>+C63</f>
        <v>39</v>
      </c>
      <c r="G28" s="81"/>
      <c r="H28" s="81"/>
      <c r="I28" s="81"/>
      <c r="J28" s="81"/>
      <c r="K28" s="60">
        <f>+K27</f>
        <v>84</v>
      </c>
      <c r="N28" s="45">
        <f t="shared" si="0"/>
        <v>5</v>
      </c>
    </row>
    <row r="29" spans="1:14" ht="15" customHeight="1" x14ac:dyDescent="0.3">
      <c r="B29" s="58" t="s">
        <v>39</v>
      </c>
      <c r="C29" s="61">
        <f t="shared" si="1"/>
        <v>234</v>
      </c>
      <c r="D29" s="56">
        <f t="shared" si="2"/>
        <v>2</v>
      </c>
      <c r="E29" s="59" cm="1">
        <f t="array" ref="E29">INDEX($C$49:$E$57,G51,$D$7)</f>
        <v>100</v>
      </c>
      <c r="F29" s="59">
        <f>+C62</f>
        <v>50</v>
      </c>
      <c r="G29" s="81"/>
      <c r="H29" s="81"/>
      <c r="I29" s="81"/>
      <c r="J29" s="81"/>
      <c r="K29" s="60">
        <f>+K27</f>
        <v>84</v>
      </c>
      <c r="N29" s="45">
        <f t="shared" si="0"/>
        <v>2</v>
      </c>
    </row>
    <row r="30" spans="1:14" x14ac:dyDescent="0.3">
      <c r="B30" s="58" t="s">
        <v>20</v>
      </c>
      <c r="C30" s="61">
        <f t="shared" si="1"/>
        <v>208</v>
      </c>
      <c r="D30" s="56">
        <f t="shared" si="2"/>
        <v>4</v>
      </c>
      <c r="E30" s="59" cm="1">
        <f t="array" ref="E30">INDEX($C$49:$E$57,G52,$D$7)</f>
        <v>80</v>
      </c>
      <c r="F30" s="59">
        <f>+C65</f>
        <v>34</v>
      </c>
      <c r="G30" s="81"/>
      <c r="H30" s="59">
        <v>20</v>
      </c>
      <c r="I30" s="81"/>
      <c r="J30" s="81"/>
      <c r="K30" s="60">
        <f>+C98</f>
        <v>74</v>
      </c>
      <c r="N30" s="45">
        <f t="shared" si="0"/>
        <v>4</v>
      </c>
    </row>
    <row r="31" spans="1:14" x14ac:dyDescent="0.3">
      <c r="B31" s="58" t="s">
        <v>21</v>
      </c>
      <c r="C31" s="61">
        <f t="shared" si="1"/>
        <v>156</v>
      </c>
      <c r="D31" s="56">
        <f t="shared" si="2"/>
        <v>7</v>
      </c>
      <c r="E31" s="59" cm="1">
        <f t="array" ref="E31">INDEX($C$49:$E$57,G53,$D$7)</f>
        <v>60</v>
      </c>
      <c r="F31" s="59">
        <f>+C64</f>
        <v>38</v>
      </c>
      <c r="G31" s="81"/>
      <c r="H31" s="81"/>
      <c r="I31" s="81"/>
      <c r="J31" s="81"/>
      <c r="K31" s="60">
        <f>+C99</f>
        <v>58</v>
      </c>
      <c r="N31" s="45">
        <f t="shared" si="0"/>
        <v>7</v>
      </c>
    </row>
    <row r="32" spans="1:14" x14ac:dyDescent="0.3">
      <c r="B32" s="58" t="s">
        <v>23</v>
      </c>
      <c r="C32" s="61">
        <f t="shared" si="1"/>
        <v>168</v>
      </c>
      <c r="D32" s="56">
        <f t="shared" si="2"/>
        <v>6</v>
      </c>
      <c r="E32" s="59" cm="1">
        <f t="array" ref="E32">INDEX($C$49:$E$57,G54,$D$7)</f>
        <v>60</v>
      </c>
      <c r="F32" s="59">
        <f>+F30</f>
        <v>34</v>
      </c>
      <c r="G32" s="81"/>
      <c r="H32" s="59">
        <v>20</v>
      </c>
      <c r="I32" s="81"/>
      <c r="J32" s="81"/>
      <c r="K32" s="60">
        <f>+C100</f>
        <v>54</v>
      </c>
      <c r="N32" s="45">
        <f t="shared" si="0"/>
        <v>6</v>
      </c>
    </row>
    <row r="33" spans="2:14" x14ac:dyDescent="0.3">
      <c r="B33" s="58" t="s">
        <v>24</v>
      </c>
      <c r="C33" s="61">
        <f t="shared" si="1"/>
        <v>146</v>
      </c>
      <c r="D33" s="56">
        <f t="shared" si="2"/>
        <v>9</v>
      </c>
      <c r="E33" s="59" cm="1">
        <f t="array" ref="E33">INDEX($C$49:$E$57,G55,$D$7)</f>
        <v>60</v>
      </c>
      <c r="F33" s="59">
        <f>+C66</f>
        <v>14</v>
      </c>
      <c r="G33" s="81"/>
      <c r="H33" s="59">
        <v>0</v>
      </c>
      <c r="I33" s="81"/>
      <c r="J33" s="81"/>
      <c r="K33" s="60">
        <f>+C101</f>
        <v>72</v>
      </c>
      <c r="N33" s="45">
        <f t="shared" si="0"/>
        <v>9</v>
      </c>
    </row>
    <row r="34" spans="2:14" x14ac:dyDescent="0.3">
      <c r="B34" s="58" t="s">
        <v>25</v>
      </c>
      <c r="C34" s="61">
        <f t="shared" si="1"/>
        <v>68</v>
      </c>
      <c r="D34" s="56">
        <f t="shared" si="2"/>
        <v>12</v>
      </c>
      <c r="E34" s="59" cm="1">
        <f t="array" ref="E34">INDEX($C$49:$E$57,G56,$D$7)</f>
        <v>20</v>
      </c>
      <c r="F34" s="59">
        <f>+C67</f>
        <v>9</v>
      </c>
      <c r="G34" s="81"/>
      <c r="H34" s="59">
        <v>0</v>
      </c>
      <c r="I34" s="81"/>
      <c r="J34" s="81"/>
      <c r="K34" s="60">
        <f>+C102</f>
        <v>39</v>
      </c>
      <c r="N34" s="45">
        <f t="shared" si="0"/>
        <v>12</v>
      </c>
    </row>
    <row r="35" spans="2:14" x14ac:dyDescent="0.3">
      <c r="B35" s="58" t="s">
        <v>40</v>
      </c>
      <c r="C35" s="61">
        <f t="shared" si="1"/>
        <v>148</v>
      </c>
      <c r="D35" s="56">
        <f t="shared" si="2"/>
        <v>8</v>
      </c>
      <c r="E35" s="59" cm="1">
        <f t="array" ref="E35">INDEX($C$49:$E$57,G57,$D$7)</f>
        <v>100</v>
      </c>
      <c r="F35" s="62">
        <f>+F34</f>
        <v>9</v>
      </c>
      <c r="G35" s="81"/>
      <c r="H35" s="62">
        <v>0</v>
      </c>
      <c r="I35" s="82"/>
      <c r="J35" s="81"/>
      <c r="K35" s="60">
        <f>+K34</f>
        <v>39</v>
      </c>
      <c r="N35" s="45">
        <f t="shared" si="0"/>
        <v>8</v>
      </c>
    </row>
    <row r="36" spans="2:14" x14ac:dyDescent="0.3">
      <c r="B36" s="56" t="s">
        <v>26</v>
      </c>
      <c r="C36" s="61">
        <f t="shared" si="1"/>
        <v>20</v>
      </c>
      <c r="D36" s="56">
        <f t="shared" si="2"/>
        <v>14</v>
      </c>
      <c r="E36" s="62">
        <f>+E34</f>
        <v>20</v>
      </c>
      <c r="F36" s="62">
        <f>+C68</f>
        <v>0</v>
      </c>
      <c r="G36" s="82"/>
      <c r="H36" s="62">
        <v>0</v>
      </c>
      <c r="I36" s="82"/>
      <c r="J36" s="81"/>
      <c r="K36" s="60">
        <f>+C103</f>
        <v>0</v>
      </c>
      <c r="N36" s="45">
        <f t="shared" si="0"/>
        <v>14</v>
      </c>
    </row>
    <row r="37" spans="2:14" x14ac:dyDescent="0.3">
      <c r="B37" s="56" t="s">
        <v>41</v>
      </c>
      <c r="C37" s="61">
        <f t="shared" si="1"/>
        <v>100</v>
      </c>
      <c r="D37" s="56">
        <f t="shared" si="2"/>
        <v>11</v>
      </c>
      <c r="E37" s="59" cm="1">
        <f t="array" ref="E37">INDEX($C$49:$E$57,G57,$D$7)</f>
        <v>100</v>
      </c>
      <c r="F37" s="62">
        <f>+F36</f>
        <v>0</v>
      </c>
      <c r="G37" s="81"/>
      <c r="H37" s="62">
        <v>0</v>
      </c>
      <c r="I37" s="82"/>
      <c r="J37" s="81"/>
      <c r="K37" s="60">
        <f>+K36</f>
        <v>0</v>
      </c>
      <c r="N37" s="45">
        <f t="shared" si="0"/>
        <v>11</v>
      </c>
    </row>
    <row r="38" spans="2:14" x14ac:dyDescent="0.3">
      <c r="B38" s="56" t="s">
        <v>27</v>
      </c>
      <c r="C38" s="61">
        <f t="shared" si="1"/>
        <v>41</v>
      </c>
      <c r="D38" s="56">
        <f t="shared" si="2"/>
        <v>13</v>
      </c>
      <c r="E38" s="62">
        <f>+E34</f>
        <v>20</v>
      </c>
      <c r="F38" s="62">
        <f>+F36</f>
        <v>0</v>
      </c>
      <c r="G38" s="82"/>
      <c r="H38" s="62">
        <v>0</v>
      </c>
      <c r="I38" s="82"/>
      <c r="J38" s="81"/>
      <c r="K38" s="60">
        <f>+C104</f>
        <v>21</v>
      </c>
      <c r="N38" s="45">
        <f t="shared" si="0"/>
        <v>13</v>
      </c>
    </row>
    <row r="39" spans="2:14" x14ac:dyDescent="0.3">
      <c r="B39" s="56" t="s">
        <v>42</v>
      </c>
      <c r="C39" s="61">
        <f t="shared" si="1"/>
        <v>121</v>
      </c>
      <c r="D39" s="56">
        <f t="shared" si="2"/>
        <v>10</v>
      </c>
      <c r="E39" s="59" cm="1">
        <f t="array" ref="E39">INDEX($C$49:$E$57,G57,$D$7)</f>
        <v>100</v>
      </c>
      <c r="F39" s="62">
        <f>+F36</f>
        <v>0</v>
      </c>
      <c r="G39" s="81"/>
      <c r="H39" s="62">
        <v>0</v>
      </c>
      <c r="I39" s="82"/>
      <c r="J39" s="81"/>
      <c r="K39" s="60">
        <f>+K38</f>
        <v>21</v>
      </c>
      <c r="N39" s="45">
        <f t="shared" si="0"/>
        <v>10</v>
      </c>
    </row>
    <row r="45" spans="2:14" x14ac:dyDescent="0.3">
      <c r="B45" s="48" t="s">
        <v>43</v>
      </c>
    </row>
    <row r="48" spans="2:14" ht="15" thickBot="1" x14ac:dyDescent="0.35">
      <c r="B48" s="27" t="s">
        <v>44</v>
      </c>
      <c r="C48" s="28" t="s">
        <v>162</v>
      </c>
      <c r="D48" s="28" t="s">
        <v>163</v>
      </c>
      <c r="E48" s="28" t="s">
        <v>164</v>
      </c>
      <c r="F48" s="44"/>
      <c r="G48" s="44"/>
    </row>
    <row r="49" spans="2:7" ht="15" thickBot="1" x14ac:dyDescent="0.35">
      <c r="B49" s="32" t="s">
        <v>17</v>
      </c>
      <c r="C49" s="33">
        <v>50</v>
      </c>
      <c r="D49" s="33">
        <v>75</v>
      </c>
      <c r="E49" s="33">
        <v>100</v>
      </c>
      <c r="F49" s="44"/>
      <c r="G49" s="73">
        <v>1</v>
      </c>
    </row>
    <row r="50" spans="2:7" ht="15" thickBot="1" x14ac:dyDescent="0.35">
      <c r="B50" s="32" t="s">
        <v>45</v>
      </c>
      <c r="C50" s="33">
        <v>40</v>
      </c>
      <c r="D50" s="33">
        <v>60</v>
      </c>
      <c r="E50" s="33">
        <v>80</v>
      </c>
      <c r="F50" s="44"/>
      <c r="G50" s="73">
        <v>2</v>
      </c>
    </row>
    <row r="51" spans="2:7" ht="15" thickBot="1" x14ac:dyDescent="0.35">
      <c r="B51" s="32" t="s">
        <v>46</v>
      </c>
      <c r="C51" s="33">
        <v>50</v>
      </c>
      <c r="D51" s="33">
        <v>75</v>
      </c>
      <c r="E51" s="33">
        <v>100</v>
      </c>
      <c r="F51" s="44"/>
      <c r="G51" s="73">
        <v>3</v>
      </c>
    </row>
    <row r="52" spans="2:7" ht="15" thickBot="1" x14ac:dyDescent="0.35">
      <c r="B52" s="32" t="s">
        <v>20</v>
      </c>
      <c r="C52" s="33">
        <v>40</v>
      </c>
      <c r="D52" s="33">
        <v>60</v>
      </c>
      <c r="E52" s="33">
        <v>80</v>
      </c>
      <c r="F52" s="44"/>
      <c r="G52" s="73">
        <v>4</v>
      </c>
    </row>
    <row r="53" spans="2:7" ht="15" thickBot="1" x14ac:dyDescent="0.35">
      <c r="B53" s="32" t="s">
        <v>47</v>
      </c>
      <c r="C53" s="33">
        <v>30</v>
      </c>
      <c r="D53" s="33">
        <v>45</v>
      </c>
      <c r="E53" s="33">
        <v>60</v>
      </c>
      <c r="F53" s="44"/>
      <c r="G53" s="73">
        <v>5</v>
      </c>
    </row>
    <row r="54" spans="2:7" ht="15" thickBot="1" x14ac:dyDescent="0.35">
      <c r="B54" s="32" t="s">
        <v>48</v>
      </c>
      <c r="C54" s="33">
        <v>30</v>
      </c>
      <c r="D54" s="33">
        <v>45</v>
      </c>
      <c r="E54" s="33">
        <v>60</v>
      </c>
      <c r="F54" s="44"/>
      <c r="G54" s="73">
        <v>6</v>
      </c>
    </row>
    <row r="55" spans="2:7" ht="15" thickBot="1" x14ac:dyDescent="0.35">
      <c r="B55" s="32" t="s">
        <v>49</v>
      </c>
      <c r="C55" s="33">
        <v>30</v>
      </c>
      <c r="D55" s="33">
        <v>45</v>
      </c>
      <c r="E55" s="33">
        <v>60</v>
      </c>
      <c r="F55" s="44"/>
      <c r="G55" s="73">
        <v>7</v>
      </c>
    </row>
    <row r="56" spans="2:7" ht="15" thickBot="1" x14ac:dyDescent="0.35">
      <c r="B56" s="32" t="s">
        <v>50</v>
      </c>
      <c r="C56" s="33">
        <v>20</v>
      </c>
      <c r="D56" s="33">
        <v>20</v>
      </c>
      <c r="E56" s="33">
        <v>20</v>
      </c>
      <c r="F56" s="44"/>
      <c r="G56" s="73">
        <v>8</v>
      </c>
    </row>
    <row r="57" spans="2:7" ht="29.4" thickBot="1" x14ac:dyDescent="0.35">
      <c r="B57" s="32" t="s">
        <v>51</v>
      </c>
      <c r="C57" s="33">
        <v>50</v>
      </c>
      <c r="D57" s="33">
        <v>75</v>
      </c>
      <c r="E57" s="33">
        <v>100</v>
      </c>
      <c r="G57" s="73">
        <v>9</v>
      </c>
    </row>
    <row r="58" spans="2:7" x14ac:dyDescent="0.3">
      <c r="B58" s="31"/>
      <c r="G58" s="74"/>
    </row>
    <row r="59" spans="2:7" ht="15" thickBot="1" x14ac:dyDescent="0.35"/>
    <row r="60" spans="2:7" ht="15" thickBot="1" x14ac:dyDescent="0.35">
      <c r="B60" s="27" t="s">
        <v>52</v>
      </c>
      <c r="C60" s="34" t="s">
        <v>53</v>
      </c>
    </row>
    <row r="61" spans="2:7" ht="15" thickBot="1" x14ac:dyDescent="0.35">
      <c r="B61" s="29" t="s">
        <v>54</v>
      </c>
      <c r="C61" s="35">
        <v>50</v>
      </c>
    </row>
    <row r="62" spans="2:7" ht="15" thickBot="1" x14ac:dyDescent="0.35">
      <c r="B62" s="29" t="s">
        <v>55</v>
      </c>
      <c r="C62" s="35">
        <v>50</v>
      </c>
    </row>
    <row r="63" spans="2:7" ht="15" thickBot="1" x14ac:dyDescent="0.35">
      <c r="B63" s="29" t="s">
        <v>56</v>
      </c>
      <c r="C63" s="35">
        <v>39</v>
      </c>
    </row>
    <row r="64" spans="2:7" ht="15" thickBot="1" x14ac:dyDescent="0.35">
      <c r="B64" s="29" t="s">
        <v>57</v>
      </c>
      <c r="C64" s="35">
        <v>38</v>
      </c>
    </row>
    <row r="65" spans="2:5" ht="15" thickBot="1" x14ac:dyDescent="0.35">
      <c r="B65" s="29" t="s">
        <v>58</v>
      </c>
      <c r="C65" s="35">
        <v>34</v>
      </c>
    </row>
    <row r="66" spans="2:5" ht="15" thickBot="1" x14ac:dyDescent="0.35">
      <c r="B66" s="29" t="s">
        <v>24</v>
      </c>
      <c r="C66" s="35">
        <v>14</v>
      </c>
    </row>
    <row r="67" spans="2:5" ht="15" thickBot="1" x14ac:dyDescent="0.35">
      <c r="B67" s="29" t="s">
        <v>25</v>
      </c>
      <c r="C67" s="35">
        <v>9</v>
      </c>
    </row>
    <row r="68" spans="2:5" ht="15" thickBot="1" x14ac:dyDescent="0.35">
      <c r="B68" s="29" t="s">
        <v>26</v>
      </c>
      <c r="C68" s="35">
        <v>0</v>
      </c>
    </row>
    <row r="70" spans="2:5" ht="15" thickBot="1" x14ac:dyDescent="0.35"/>
    <row r="71" spans="2:5" ht="15" thickBot="1" x14ac:dyDescent="0.35">
      <c r="B71" s="27" t="s">
        <v>59</v>
      </c>
      <c r="C71" s="28" t="s">
        <v>162</v>
      </c>
      <c r="D71" s="28" t="s">
        <v>163</v>
      </c>
      <c r="E71" s="28" t="s">
        <v>164</v>
      </c>
    </row>
    <row r="72" spans="2:5" ht="15" thickBot="1" x14ac:dyDescent="0.35">
      <c r="B72" s="29" t="s">
        <v>60</v>
      </c>
      <c r="C72" s="30">
        <v>50</v>
      </c>
      <c r="D72" s="30">
        <v>75</v>
      </c>
      <c r="E72" s="30">
        <v>100</v>
      </c>
    </row>
    <row r="73" spans="2:5" ht="15" thickBot="1" x14ac:dyDescent="0.35">
      <c r="B73" s="29" t="s">
        <v>61</v>
      </c>
      <c r="C73" s="30">
        <v>40</v>
      </c>
      <c r="D73" s="30">
        <v>60</v>
      </c>
      <c r="E73" s="30">
        <v>80</v>
      </c>
    </row>
    <row r="74" spans="2:5" ht="15" thickBot="1" x14ac:dyDescent="0.35">
      <c r="B74" s="29" t="s">
        <v>62</v>
      </c>
      <c r="C74" s="30">
        <v>20</v>
      </c>
      <c r="D74" s="30">
        <v>30</v>
      </c>
      <c r="E74" s="30">
        <v>40</v>
      </c>
    </row>
    <row r="75" spans="2:5" ht="15" thickBot="1" x14ac:dyDescent="0.35">
      <c r="B75" s="29" t="s">
        <v>63</v>
      </c>
      <c r="C75" s="30">
        <v>30</v>
      </c>
      <c r="D75" s="30">
        <v>45</v>
      </c>
      <c r="E75" s="30">
        <v>60</v>
      </c>
    </row>
    <row r="77" spans="2:5" ht="15" thickBot="1" x14ac:dyDescent="0.35"/>
    <row r="78" spans="2:5" ht="15" thickBot="1" x14ac:dyDescent="0.35">
      <c r="B78" s="36" t="s">
        <v>64</v>
      </c>
      <c r="C78" s="37" t="s">
        <v>65</v>
      </c>
    </row>
    <row r="79" spans="2:5" ht="15" thickBot="1" x14ac:dyDescent="0.35">
      <c r="B79" s="38" t="s">
        <v>66</v>
      </c>
      <c r="C79" s="39">
        <v>50</v>
      </c>
    </row>
    <row r="80" spans="2:5" ht="43.8" thickBot="1" x14ac:dyDescent="0.35">
      <c r="B80" s="38" t="s">
        <v>67</v>
      </c>
      <c r="C80" s="39">
        <v>20</v>
      </c>
    </row>
    <row r="82" spans="2:7" ht="15" thickBot="1" x14ac:dyDescent="0.35"/>
    <row r="83" spans="2:7" ht="15" thickBot="1" x14ac:dyDescent="0.35">
      <c r="B83" s="36" t="s">
        <v>68</v>
      </c>
      <c r="C83" s="37" t="s">
        <v>65</v>
      </c>
      <c r="G83" s="50"/>
    </row>
    <row r="84" spans="2:7" ht="43.8" thickBot="1" x14ac:dyDescent="0.35">
      <c r="B84" s="38" t="s">
        <v>69</v>
      </c>
      <c r="C84" s="39">
        <v>50</v>
      </c>
    </row>
    <row r="86" spans="2:7" ht="15" thickBot="1" x14ac:dyDescent="0.35"/>
    <row r="87" spans="2:7" ht="15" thickBot="1" x14ac:dyDescent="0.35">
      <c r="B87" s="36" t="s">
        <v>70</v>
      </c>
      <c r="C87" s="37" t="s">
        <v>53</v>
      </c>
    </row>
    <row r="88" spans="2:7" ht="15" thickBot="1" x14ac:dyDescent="0.35">
      <c r="B88" s="40">
        <v>0.25</v>
      </c>
      <c r="C88" s="39">
        <v>10</v>
      </c>
    </row>
    <row r="89" spans="2:7" ht="15" thickBot="1" x14ac:dyDescent="0.35">
      <c r="B89" s="40">
        <v>0.5</v>
      </c>
      <c r="C89" s="39">
        <v>20</v>
      </c>
    </row>
    <row r="90" spans="2:7" ht="15" thickBot="1" x14ac:dyDescent="0.35">
      <c r="B90" s="40">
        <v>0.75</v>
      </c>
      <c r="C90" s="39">
        <v>30</v>
      </c>
    </row>
    <row r="91" spans="2:7" ht="15" thickBot="1" x14ac:dyDescent="0.35">
      <c r="B91" s="40">
        <v>1</v>
      </c>
      <c r="C91" s="39">
        <v>40</v>
      </c>
    </row>
    <row r="92" spans="2:7" ht="15" thickBot="1" x14ac:dyDescent="0.35">
      <c r="B92" s="38" t="s">
        <v>71</v>
      </c>
      <c r="C92" s="39">
        <v>50</v>
      </c>
      <c r="G92" s="50"/>
    </row>
    <row r="94" spans="2:7" ht="15" thickBot="1" x14ac:dyDescent="0.35"/>
    <row r="95" spans="2:7" ht="15" thickBot="1" x14ac:dyDescent="0.35">
      <c r="B95" s="36" t="s">
        <v>72</v>
      </c>
      <c r="C95" s="37" t="s">
        <v>53</v>
      </c>
    </row>
    <row r="96" spans="2:7" ht="15" thickBot="1" x14ac:dyDescent="0.35">
      <c r="B96" s="41" t="str">
        <f>+Ekonomika!BW4</f>
        <v>Napojení na komunální ČOV mimo obec</v>
      </c>
      <c r="C96" s="42">
        <f>+Ekonomika!BV4</f>
        <v>100</v>
      </c>
    </row>
    <row r="97" spans="2:3" ht="15" thickBot="1" x14ac:dyDescent="0.35">
      <c r="B97" s="40" t="str">
        <f>+Ekonomika!BW5</f>
        <v>Komunální ČOV</v>
      </c>
      <c r="C97" s="43">
        <f>+Ekonomika!BV5</f>
        <v>84</v>
      </c>
    </row>
    <row r="98" spans="2:3" ht="15" thickBot="1" x14ac:dyDescent="0.35">
      <c r="B98" s="40" t="str">
        <f>+Ekonomika!BW6</f>
        <v>Komunální kořenové čistírny</v>
      </c>
      <c r="C98" s="43">
        <f>+Ekonomika!BV6</f>
        <v>74</v>
      </c>
    </row>
    <row r="99" spans="2:3" ht="15" thickBot="1" x14ac:dyDescent="0.35">
      <c r="B99" s="40" t="str">
        <f>+Ekonomika!BW7</f>
        <v>Domovní čistírny odpadních vod</v>
      </c>
      <c r="C99" s="43">
        <f>+Ekonomika!BV7</f>
        <v>58</v>
      </c>
    </row>
    <row r="100" spans="2:3" ht="15" thickBot="1" x14ac:dyDescent="0.35">
      <c r="B100" s="40" t="str">
        <f>+Ekonomika!BW8</f>
        <v>Domovní kořenové čistírny</v>
      </c>
      <c r="C100" s="43">
        <f>+Ekonomika!BV8</f>
        <v>54</v>
      </c>
    </row>
    <row r="101" spans="2:3" ht="15" thickBot="1" x14ac:dyDescent="0.35">
      <c r="B101" s="38" t="str">
        <f>+Ekonomika!BW9</f>
        <v>Septik se zemním filtrem</v>
      </c>
      <c r="C101" s="43">
        <f>+Ekonomika!BV9</f>
        <v>72</v>
      </c>
    </row>
    <row r="102" spans="2:3" ht="15" thickBot="1" x14ac:dyDescent="0.35">
      <c r="B102" s="41" t="str">
        <f>+Ekonomika!BW10</f>
        <v>Bezodtoká jímka – žumpa, odvoz na ČOV v obci</v>
      </c>
      <c r="C102" s="42">
        <f>+Ekonomika!BV10</f>
        <v>39</v>
      </c>
    </row>
    <row r="103" spans="2:3" ht="15" thickBot="1" x14ac:dyDescent="0.35">
      <c r="B103" s="40" t="str">
        <f>+Ekonomika!BW11</f>
        <v>Bezodtoká jímka – žumpa, odvoz na ČOV mimo obec</v>
      </c>
      <c r="C103" s="43">
        <f>+Ekonomika!BV11</f>
        <v>0</v>
      </c>
    </row>
    <row r="104" spans="2:3" ht="15" thickBot="1" x14ac:dyDescent="0.35">
      <c r="B104" s="40" t="str">
        <f>+Ekonomika!BW12</f>
        <v>Bezodtoká jímka – žumpa, odvoz na novou ČOV v obci</v>
      </c>
      <c r="C104" s="43">
        <f>+Ekonomika!BV12</f>
        <v>21</v>
      </c>
    </row>
  </sheetData>
  <sheetProtection algorithmName="SHA-512" hashValue="G/oP3VSP9QUj6C4iPHub5/WASMC2OzoYrFfW68TxmmTBPzGd0ZwUdNLnaI2pYp4qGKHk4b+jd7RGrpRzE6/pHQ==" saltValue="jpEQSkHUjmKUqAn035ujFQ==" spinCount="100000" sheet="1" objects="1" scenarios="1"/>
  <mergeCells count="3">
    <mergeCell ref="E10:H10"/>
    <mergeCell ref="A10:A11"/>
    <mergeCell ref="B10:B11"/>
  </mergeCells>
  <conditionalFormatting sqref="C26:C3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:C3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6:D3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957029F-682D-4019-86D4-BB06F9F8FE82}">
          <x14:formula1>
            <xm:f>Ekonomika!$A$71:$A$72</xm:f>
          </x14:formula1>
          <xm:sqref>A13:A21</xm:sqref>
        </x14:dataValidation>
        <x14:dataValidation type="list" allowBlank="1" showInputMessage="1" showErrorMessage="1" xr:uid="{CA03AF82-0F0A-4E2E-993F-7DF47262207E}">
          <x14:formula1>
            <xm:f>Ekonomika!$A$74:$A$76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9053-D1FB-46D6-B911-4DE49EB368E7}">
  <dimension ref="A1:BW81"/>
  <sheetViews>
    <sheetView topLeftCell="A5" workbookViewId="0">
      <selection activeCell="L44" sqref="L44"/>
    </sheetView>
  </sheetViews>
  <sheetFormatPr defaultRowHeight="14.4" x14ac:dyDescent="0.3"/>
  <cols>
    <col min="2" max="2" width="44.09765625" customWidth="1"/>
    <col min="3" max="3" width="35.296875" customWidth="1"/>
    <col min="4" max="4" width="10.69921875" hidden="1" customWidth="1"/>
    <col min="5" max="5" width="8.796875" hidden="1" customWidth="1"/>
    <col min="6" max="6" width="12.5" hidden="1" customWidth="1"/>
    <col min="7" max="7" width="12.296875" hidden="1" customWidth="1"/>
    <col min="8" max="8" width="5.59765625" style="7" customWidth="1"/>
    <col min="9" max="9" width="8" style="7" customWidth="1"/>
    <col min="10" max="10" width="4.296875" style="7" customWidth="1"/>
    <col min="11" max="19" width="10.59765625" style="7" customWidth="1"/>
    <col min="20" max="20" width="10.19921875" hidden="1" customWidth="1"/>
    <col min="21" max="21" width="14.796875" hidden="1" customWidth="1"/>
    <col min="22" max="22" width="1.59765625" style="7" hidden="1" customWidth="1"/>
    <col min="23" max="23" width="17.69921875" hidden="1" customWidth="1"/>
    <col min="24" max="24" width="9.09765625" hidden="1" customWidth="1"/>
    <col min="25" max="25" width="13.19921875" hidden="1" customWidth="1"/>
    <col min="26" max="26" width="17.296875" hidden="1" customWidth="1"/>
    <col min="27" max="27" width="9" style="4" hidden="1" customWidth="1"/>
    <col min="28" max="28" width="6" style="4" hidden="1" customWidth="1"/>
    <col min="29" max="31" width="11" style="4" hidden="1" customWidth="1"/>
    <col min="32" max="33" width="10.09765625" style="4" hidden="1" customWidth="1"/>
    <col min="34" max="34" width="12.796875" style="4" hidden="1" customWidth="1"/>
    <col min="35" max="37" width="11" style="4" hidden="1" customWidth="1"/>
    <col min="38" max="38" width="12.296875" style="9" hidden="1" customWidth="1"/>
    <col min="39" max="39" width="2.09765625" style="7" hidden="1" customWidth="1"/>
    <col min="40" max="45" width="8.796875" hidden="1" customWidth="1"/>
    <col min="46" max="46" width="9.796875" hidden="1" customWidth="1"/>
    <col min="47" max="47" width="8.796875" hidden="1" customWidth="1"/>
    <col min="48" max="48" width="11.796875" hidden="1" customWidth="1"/>
    <col min="49" max="49" width="10.796875" style="3" hidden="1" customWidth="1"/>
    <col min="50" max="50" width="2" style="7" hidden="1" customWidth="1"/>
    <col min="51" max="58" width="8.796875" hidden="1" customWidth="1"/>
    <col min="59" max="59" width="11" style="3" hidden="1" customWidth="1"/>
    <col min="60" max="60" width="1.796875" style="2" hidden="1" customWidth="1"/>
    <col min="61" max="61" width="12.59765625" hidden="1" customWidth="1"/>
    <col min="62" max="62" width="13.19921875" hidden="1" customWidth="1"/>
    <col min="63" max="63" width="12.69921875" hidden="1" customWidth="1"/>
    <col min="64" max="64" width="8.796875" hidden="1" customWidth="1"/>
    <col min="65" max="65" width="24" hidden="1" customWidth="1"/>
    <col min="66" max="66" width="19.796875" hidden="1" customWidth="1"/>
    <col min="67" max="74" width="12.69921875" hidden="1" customWidth="1"/>
    <col min="75" max="75" width="32.09765625" hidden="1" customWidth="1"/>
    <col min="76" max="78" width="8.796875" customWidth="1"/>
  </cols>
  <sheetData>
    <row r="1" spans="1:75" x14ac:dyDescent="0.3">
      <c r="A1" s="3" t="s">
        <v>3</v>
      </c>
      <c r="C1" t="s">
        <v>73</v>
      </c>
      <c r="F1" s="3" t="s">
        <v>74</v>
      </c>
      <c r="G1" t="s">
        <v>75</v>
      </c>
      <c r="T1" s="3" t="s">
        <v>5</v>
      </c>
      <c r="W1" s="3" t="s">
        <v>76</v>
      </c>
      <c r="AN1" s="3" t="s">
        <v>77</v>
      </c>
      <c r="AY1" s="3" t="s">
        <v>78</v>
      </c>
      <c r="BI1" t="s">
        <v>79</v>
      </c>
      <c r="BJ1" t="s">
        <v>80</v>
      </c>
      <c r="BK1" t="s">
        <v>81</v>
      </c>
      <c r="BM1" t="s">
        <v>81</v>
      </c>
      <c r="BO1" s="3" t="s">
        <v>82</v>
      </c>
      <c r="BP1" s="3"/>
      <c r="BQ1" s="3"/>
      <c r="BR1" s="3"/>
      <c r="BS1" s="3"/>
      <c r="BT1" s="3"/>
      <c r="BU1" s="3"/>
      <c r="BV1" s="3" t="s">
        <v>82</v>
      </c>
    </row>
    <row r="2" spans="1:75" x14ac:dyDescent="0.3">
      <c r="F2" s="46">
        <f>+Hodnocení!C5</f>
        <v>100</v>
      </c>
      <c r="G2" s="2">
        <f>+F2/4</f>
        <v>25</v>
      </c>
      <c r="T2" s="7" t="s">
        <v>7</v>
      </c>
      <c r="U2" s="7" t="s">
        <v>83</v>
      </c>
      <c r="W2" s="7" t="s">
        <v>84</v>
      </c>
      <c r="X2" s="7"/>
      <c r="Y2" s="7"/>
      <c r="Z2" t="s">
        <v>85</v>
      </c>
      <c r="AC2" s="4" t="s">
        <v>10</v>
      </c>
      <c r="AE2" s="8" t="s">
        <v>11</v>
      </c>
      <c r="AF2" s="8"/>
      <c r="AG2" s="8"/>
      <c r="AI2" s="4" t="s">
        <v>86</v>
      </c>
      <c r="AK2" s="4" t="s">
        <v>87</v>
      </c>
      <c r="AN2" s="7"/>
      <c r="AO2" s="7"/>
      <c r="AP2" t="s">
        <v>11</v>
      </c>
      <c r="AS2" s="7" t="s">
        <v>88</v>
      </c>
      <c r="AT2" s="7"/>
      <c r="BA2" s="7"/>
      <c r="BB2" s="7"/>
      <c r="BC2" s="7"/>
      <c r="BD2" s="7"/>
    </row>
    <row r="3" spans="1:75" x14ac:dyDescent="0.3">
      <c r="T3" s="7"/>
      <c r="U3" s="7" t="s">
        <v>89</v>
      </c>
      <c r="W3" s="7" t="s">
        <v>90</v>
      </c>
      <c r="X3" s="8" t="s">
        <v>91</v>
      </c>
      <c r="Y3" s="8" t="s">
        <v>92</v>
      </c>
      <c r="Z3" t="s">
        <v>93</v>
      </c>
      <c r="AA3" s="4" t="s">
        <v>91</v>
      </c>
      <c r="AB3" s="4" t="s">
        <v>92</v>
      </c>
      <c r="AC3" s="4" t="s">
        <v>14</v>
      </c>
      <c r="AD3" s="4" t="s">
        <v>92</v>
      </c>
      <c r="AE3" s="8" t="s">
        <v>15</v>
      </c>
      <c r="AF3" s="8" t="s">
        <v>94</v>
      </c>
      <c r="AG3" s="8" t="s">
        <v>92</v>
      </c>
      <c r="AH3" s="16" t="s">
        <v>95</v>
      </c>
      <c r="AI3" s="4" t="s">
        <v>96</v>
      </c>
      <c r="AJ3" s="4" t="s">
        <v>97</v>
      </c>
      <c r="AL3" s="9" t="s">
        <v>98</v>
      </c>
      <c r="AN3" s="8" t="s">
        <v>99</v>
      </c>
      <c r="AO3" s="8" t="s">
        <v>100</v>
      </c>
      <c r="AP3" s="4" t="s">
        <v>101</v>
      </c>
      <c r="AQ3" s="4" t="s">
        <v>94</v>
      </c>
      <c r="AR3" s="4" t="s">
        <v>102</v>
      </c>
      <c r="AS3" s="8" t="s">
        <v>101</v>
      </c>
      <c r="AT3" s="8" t="s">
        <v>103</v>
      </c>
      <c r="AU3" s="4" t="s">
        <v>94</v>
      </c>
      <c r="AV3" s="4" t="s">
        <v>92</v>
      </c>
      <c r="AW3" s="9" t="s">
        <v>104</v>
      </c>
      <c r="AY3" s="4" t="s">
        <v>105</v>
      </c>
      <c r="AZ3" s="4" t="s">
        <v>102</v>
      </c>
      <c r="BA3" s="8" t="s">
        <v>106</v>
      </c>
      <c r="BB3" s="8" t="s">
        <v>102</v>
      </c>
      <c r="BC3" s="8" t="s">
        <v>107</v>
      </c>
      <c r="BD3" s="8" t="s">
        <v>102</v>
      </c>
      <c r="BE3" s="4" t="s">
        <v>108</v>
      </c>
      <c r="BF3" s="4" t="s">
        <v>102</v>
      </c>
      <c r="BG3" s="9" t="s">
        <v>95</v>
      </c>
      <c r="BI3">
        <v>10</v>
      </c>
      <c r="BJ3">
        <v>15</v>
      </c>
      <c r="BK3">
        <v>20</v>
      </c>
      <c r="BN3" t="s">
        <v>166</v>
      </c>
      <c r="BP3" t="s">
        <v>167</v>
      </c>
      <c r="BT3" t="s">
        <v>168</v>
      </c>
    </row>
    <row r="4" spans="1:75" ht="38.75" customHeight="1" x14ac:dyDescent="0.3">
      <c r="A4" s="46" t="str">
        <f>+Hodnocení!A13</f>
        <v>ANO</v>
      </c>
      <c r="B4" s="1" t="s">
        <v>17</v>
      </c>
      <c r="C4" s="5" t="s">
        <v>109</v>
      </c>
      <c r="F4">
        <f>+F2</f>
        <v>100</v>
      </c>
      <c r="G4" t="s">
        <v>22</v>
      </c>
      <c r="T4" s="46">
        <f>+Hodnocení!D13</f>
        <v>0</v>
      </c>
      <c r="U4" s="4">
        <f>+T4*X4*1000</f>
        <v>0</v>
      </c>
      <c r="W4" s="46">
        <f>+Hodnocení!E13</f>
        <v>0</v>
      </c>
      <c r="X4">
        <f t="shared" ref="X4:X9" si="0">+$D$24</f>
        <v>13013</v>
      </c>
      <c r="Y4" s="4">
        <f t="shared" ref="Y4:Y9" si="1">+X4*W4*1000</f>
        <v>0</v>
      </c>
      <c r="Z4" s="46">
        <f>+Hodnocení!F13</f>
        <v>0</v>
      </c>
      <c r="AA4" s="47">
        <f>+$D$23</f>
        <v>6760.5999999999995</v>
      </c>
      <c r="AB4" s="47">
        <f>+AA4*Z4*1000</f>
        <v>0</v>
      </c>
      <c r="AC4" s="47">
        <f>+Hodnocení!G13</f>
        <v>0</v>
      </c>
      <c r="AD4" s="47">
        <f>+AC4*$D$26</f>
        <v>0</v>
      </c>
      <c r="AE4" s="47">
        <f>+Hodnocení!H13</f>
        <v>0</v>
      </c>
      <c r="AF4" s="4">
        <f>+$D$27</f>
        <v>80000</v>
      </c>
      <c r="AG4" s="4">
        <f>+AE4*AF4</f>
        <v>0</v>
      </c>
      <c r="AH4" s="16">
        <f t="shared" ref="AH4:AH9" si="2">+Y4+AB4+AD4+AG4</f>
        <v>0</v>
      </c>
      <c r="AI4" s="4" t="s">
        <v>22</v>
      </c>
      <c r="AJ4" s="4" t="s">
        <v>22</v>
      </c>
      <c r="AL4" s="9">
        <f>+AH4</f>
        <v>0</v>
      </c>
      <c r="AN4" t="s">
        <v>22</v>
      </c>
      <c r="AO4" t="s">
        <v>22</v>
      </c>
      <c r="AP4" s="4">
        <f>+$D$61</f>
        <v>10</v>
      </c>
      <c r="AQ4" s="4">
        <f>$D$15*$D$16*AP4</f>
        <v>1200</v>
      </c>
      <c r="AR4" s="6">
        <f>+AQ4*AE4</f>
        <v>0</v>
      </c>
      <c r="AS4" s="4">
        <f>+D57</f>
        <v>50</v>
      </c>
      <c r="AT4" s="4">
        <f>$D$15*AS4</f>
        <v>1500</v>
      </c>
      <c r="AU4" s="4" t="s">
        <v>22</v>
      </c>
      <c r="AV4" s="4">
        <f>+AT4*F4</f>
        <v>150000</v>
      </c>
      <c r="AW4" s="9">
        <f>+AR4+AV4</f>
        <v>150000</v>
      </c>
      <c r="AY4">
        <f t="shared" ref="AY4:AY9" si="3">+$E$65</f>
        <v>90</v>
      </c>
      <c r="AZ4" s="4">
        <f t="shared" ref="AZ4:AZ9" si="4">+(U4+Y4+AB4)/AY4</f>
        <v>0</v>
      </c>
      <c r="BA4" s="4">
        <f>+$E$66</f>
        <v>40</v>
      </c>
      <c r="BB4" s="4">
        <f>+AD4/BA4</f>
        <v>0</v>
      </c>
      <c r="BC4" s="4">
        <f>+$D$28/10</f>
        <v>1500</v>
      </c>
      <c r="BD4" s="4">
        <f>+BC4*AE4</f>
        <v>0</v>
      </c>
      <c r="BE4" t="s">
        <v>22</v>
      </c>
      <c r="BG4" s="9">
        <f>+AZ4+BD4++BB4+BF4</f>
        <v>0</v>
      </c>
      <c r="BI4" s="6">
        <f t="shared" ref="BI4:BI12" si="5">+AL4+$BI$3*AW4+$BI$3*BG4</f>
        <v>1500000</v>
      </c>
      <c r="BJ4" s="6">
        <f t="shared" ref="BJ4:BJ12" si="6">+AL4+$BJ$3*AW4+$BJ$3*BG4</f>
        <v>2250000</v>
      </c>
      <c r="BK4" s="6">
        <f t="shared" ref="BK4:BK12" si="7">+AL4+$BK$3*AW4+$BK$3*BG4</f>
        <v>3000000</v>
      </c>
      <c r="BM4" s="25">
        <f>IF(A4="ANO",+BK4,"-")</f>
        <v>3000000</v>
      </c>
      <c r="BN4" s="24">
        <f t="shared" ref="BN4:BN12" si="8">+BM4-$BM$15</f>
        <v>0</v>
      </c>
      <c r="BO4" s="76">
        <f t="shared" ref="BO4:BO12" si="9">(1-BN4/$BM$17)*100</f>
        <v>100</v>
      </c>
      <c r="BP4" t="b">
        <f>AND(+$BM$18&gt;1)</f>
        <v>1</v>
      </c>
      <c r="BQ4" s="75">
        <f t="shared" ref="BQ4:BQ12" si="10">-(1-($BM$16/BM4))</f>
        <v>4.3624999999999998</v>
      </c>
      <c r="BR4" s="77">
        <f>+$BM$18-BQ4</f>
        <v>0</v>
      </c>
      <c r="BS4" s="78">
        <f>100*(1-BR4)</f>
        <v>100</v>
      </c>
      <c r="BT4" s="26" t="b">
        <f>ISNUMBER(BO4)</f>
        <v>1</v>
      </c>
      <c r="BU4">
        <f t="shared" ref="BU4:BU12" si="11">ROUND((IF(BT4=TRUE,IF(BP4=TRUE,+BO4,+BS4))),0)</f>
        <v>100</v>
      </c>
      <c r="BV4" s="4">
        <f>+BU4</f>
        <v>100</v>
      </c>
      <c r="BW4" t="str">
        <f t="shared" ref="BW4:BW12" si="12">+B4</f>
        <v>Napojení na komunální ČOV mimo obec</v>
      </c>
    </row>
    <row r="5" spans="1:75" x14ac:dyDescent="0.3">
      <c r="A5" s="46" t="str">
        <f>+Hodnocení!A14</f>
        <v>ANO</v>
      </c>
      <c r="B5" s="1" t="s">
        <v>19</v>
      </c>
      <c r="C5" s="1"/>
      <c r="F5">
        <f>+F2</f>
        <v>100</v>
      </c>
      <c r="G5" t="s">
        <v>22</v>
      </c>
      <c r="T5" s="46">
        <f>+Hodnocení!D14</f>
        <v>0</v>
      </c>
      <c r="U5" s="4">
        <f>+T5*X5*1000</f>
        <v>0</v>
      </c>
      <c r="W5" s="46">
        <f>+Hodnocení!E14</f>
        <v>0</v>
      </c>
      <c r="X5">
        <f t="shared" si="0"/>
        <v>13013</v>
      </c>
      <c r="Y5" s="4">
        <f t="shared" si="1"/>
        <v>0</v>
      </c>
      <c r="Z5" s="47">
        <f>+Hodnocení!F14</f>
        <v>0</v>
      </c>
      <c r="AA5" s="47">
        <f>+$D$23</f>
        <v>6760.5999999999995</v>
      </c>
      <c r="AB5" s="47">
        <f>+AA5*Z5*1000</f>
        <v>0</v>
      </c>
      <c r="AC5" s="47">
        <f>+Hodnocení!G14</f>
        <v>0</v>
      </c>
      <c r="AD5" s="47">
        <f>+AC5*$D$26</f>
        <v>0</v>
      </c>
      <c r="AE5" s="47">
        <f>+Hodnocení!H14</f>
        <v>0</v>
      </c>
      <c r="AF5" s="4">
        <f>+$D$27</f>
        <v>80000</v>
      </c>
      <c r="AG5" s="4">
        <f>+AE5*AF5</f>
        <v>0</v>
      </c>
      <c r="AH5" s="16">
        <f t="shared" si="2"/>
        <v>0</v>
      </c>
      <c r="AI5" s="4">
        <f>+D22</f>
        <v>22324.399999999998</v>
      </c>
      <c r="AJ5" s="4">
        <f>+F5*AI5</f>
        <v>2232440</v>
      </c>
      <c r="AL5" s="9">
        <f>+AH5+AJ5</f>
        <v>2232440</v>
      </c>
      <c r="AN5" t="s">
        <v>22</v>
      </c>
      <c r="AO5" t="s">
        <v>22</v>
      </c>
      <c r="AP5" s="4">
        <f>+$D$61</f>
        <v>10</v>
      </c>
      <c r="AQ5" s="4">
        <f>$D$15*$D$16*AP5</f>
        <v>1200</v>
      </c>
      <c r="AR5" s="6">
        <f>+AQ5*AE5</f>
        <v>0</v>
      </c>
      <c r="AS5" s="15">
        <f>+D58</f>
        <v>30</v>
      </c>
      <c r="AT5" s="4">
        <f>$D$15*AS5</f>
        <v>900</v>
      </c>
      <c r="AU5" s="4" t="s">
        <v>22</v>
      </c>
      <c r="AV5" s="4">
        <f>+AT5*F5</f>
        <v>90000</v>
      </c>
      <c r="AW5" s="9">
        <f>+AR5+AV5</f>
        <v>90000</v>
      </c>
      <c r="AY5">
        <f t="shared" si="3"/>
        <v>90</v>
      </c>
      <c r="AZ5" s="4">
        <f t="shared" si="4"/>
        <v>0</v>
      </c>
      <c r="BA5" s="4">
        <f>+$E$66</f>
        <v>40</v>
      </c>
      <c r="BB5" s="4">
        <f>+AD5/BA5</f>
        <v>0</v>
      </c>
      <c r="BC5" s="4">
        <f>+$D$28/10</f>
        <v>1500</v>
      </c>
      <c r="BD5" s="4">
        <f>+BC5*AE5</f>
        <v>0</v>
      </c>
      <c r="BE5">
        <f t="shared" ref="BE5:BE12" si="13">+$E$66</f>
        <v>40</v>
      </c>
      <c r="BF5" s="4">
        <f>+AJ5/BE5</f>
        <v>55811</v>
      </c>
      <c r="BG5" s="9">
        <f>+AZ5+BD5++BB5+BF5</f>
        <v>55811</v>
      </c>
      <c r="BI5" s="6">
        <f t="shared" si="5"/>
        <v>3690550</v>
      </c>
      <c r="BJ5" s="6">
        <f t="shared" si="6"/>
        <v>4419605</v>
      </c>
      <c r="BK5" s="6">
        <f t="shared" si="7"/>
        <v>5148660</v>
      </c>
      <c r="BM5" s="25">
        <f t="shared" ref="BM5:BM12" si="14">IF(A5="ANO",+BK5,"-")</f>
        <v>5148660</v>
      </c>
      <c r="BN5" s="24">
        <f t="shared" si="8"/>
        <v>2148660</v>
      </c>
      <c r="BO5" s="76">
        <f t="shared" si="9"/>
        <v>83.582349570200577</v>
      </c>
      <c r="BP5" t="b">
        <f t="shared" ref="BP5:BP12" si="15">AND(+$BM$18&gt;1)</f>
        <v>1</v>
      </c>
      <c r="BQ5" s="75">
        <f t="shared" si="10"/>
        <v>2.1245994103320087</v>
      </c>
      <c r="BR5" s="77">
        <f t="shared" ref="BR5:BR12" si="16">+$BM$18-BQ5</f>
        <v>2.2379005896679911</v>
      </c>
      <c r="BS5" s="78">
        <f t="shared" ref="BS5:BS12" si="17">100*(1-BR5)</f>
        <v>-123.79005896679911</v>
      </c>
      <c r="BT5" s="26" t="b">
        <f t="shared" ref="BT5:BT12" si="18">ISNUMBER(BO5)</f>
        <v>1</v>
      </c>
      <c r="BU5">
        <f t="shared" si="11"/>
        <v>84</v>
      </c>
      <c r="BV5" s="4">
        <f t="shared" ref="BV5:BV12" si="19">+BU5</f>
        <v>84</v>
      </c>
      <c r="BW5" t="str">
        <f t="shared" si="12"/>
        <v>Komunální ČOV</v>
      </c>
    </row>
    <row r="6" spans="1:75" x14ac:dyDescent="0.3">
      <c r="A6" s="46" t="str">
        <f>+Hodnocení!A15</f>
        <v>ANO</v>
      </c>
      <c r="B6" s="1" t="s">
        <v>20</v>
      </c>
      <c r="C6" s="13"/>
      <c r="F6">
        <f>+F2</f>
        <v>100</v>
      </c>
      <c r="G6" t="s">
        <v>22</v>
      </c>
      <c r="T6" s="46">
        <f>+Hodnocení!D15</f>
        <v>0</v>
      </c>
      <c r="U6" s="4">
        <f>+T6*X6*1000</f>
        <v>0</v>
      </c>
      <c r="W6" s="46">
        <f>+Hodnocení!E15</f>
        <v>0</v>
      </c>
      <c r="X6">
        <f t="shared" si="0"/>
        <v>13013</v>
      </c>
      <c r="Y6" s="4">
        <f t="shared" si="1"/>
        <v>0</v>
      </c>
      <c r="Z6" s="47">
        <f>+Hodnocení!F15</f>
        <v>0</v>
      </c>
      <c r="AA6" s="47">
        <f>+$D$23</f>
        <v>6760.5999999999995</v>
      </c>
      <c r="AB6" s="47">
        <f>+AA6*Z6*1000</f>
        <v>0</v>
      </c>
      <c r="AC6" s="47">
        <f>+Hodnocení!G15</f>
        <v>0</v>
      </c>
      <c r="AD6" s="47">
        <f>+AC6*$D$26</f>
        <v>0</v>
      </c>
      <c r="AE6" s="47">
        <f>+Hodnocení!H15</f>
        <v>0</v>
      </c>
      <c r="AF6" s="4">
        <f>+$D$27</f>
        <v>80000</v>
      </c>
      <c r="AG6" s="4">
        <f>+AE6*AF6</f>
        <v>0</v>
      </c>
      <c r="AH6" s="16">
        <f t="shared" si="2"/>
        <v>0</v>
      </c>
      <c r="AI6" s="14">
        <f>+D25</f>
        <v>35000</v>
      </c>
      <c r="AJ6" s="4">
        <f>+AI6*F6</f>
        <v>3500000</v>
      </c>
      <c r="AL6" s="9">
        <f>+AH6+AJ6</f>
        <v>3500000</v>
      </c>
      <c r="AN6" t="s">
        <v>22</v>
      </c>
      <c r="AO6" t="s">
        <v>22</v>
      </c>
      <c r="AP6" s="4">
        <f>+$D$61</f>
        <v>10</v>
      </c>
      <c r="AQ6" s="4">
        <f>$D$15*$D$16*AP6</f>
        <v>1200</v>
      </c>
      <c r="AR6" s="6">
        <f>+AQ6*AE6</f>
        <v>0</v>
      </c>
      <c r="AS6" s="15">
        <f>+D59</f>
        <v>20</v>
      </c>
      <c r="AT6" s="4">
        <f>$D$15*AS6</f>
        <v>600</v>
      </c>
      <c r="AU6" s="4" t="s">
        <v>22</v>
      </c>
      <c r="AV6" s="4">
        <f>+AT6*F6</f>
        <v>60000</v>
      </c>
      <c r="AW6" s="9">
        <f>+AR6+AV6</f>
        <v>60000</v>
      </c>
      <c r="AY6">
        <f t="shared" si="3"/>
        <v>90</v>
      </c>
      <c r="AZ6" s="4">
        <f t="shared" si="4"/>
        <v>0</v>
      </c>
      <c r="BA6" s="4">
        <f>+$E$66</f>
        <v>40</v>
      </c>
      <c r="BB6" s="4">
        <f>+AD6/BA6</f>
        <v>0</v>
      </c>
      <c r="BC6" s="4">
        <f>+$D$28/10</f>
        <v>1500</v>
      </c>
      <c r="BD6" s="4">
        <f>+BC6*AE6</f>
        <v>0</v>
      </c>
      <c r="BE6">
        <f t="shared" si="13"/>
        <v>40</v>
      </c>
      <c r="BF6" s="4">
        <f>+AJ6/BE6</f>
        <v>87500</v>
      </c>
      <c r="BG6" s="9">
        <f>+AZ6+BD6++BB6+BF6</f>
        <v>87500</v>
      </c>
      <c r="BI6" s="6">
        <f t="shared" si="5"/>
        <v>4975000</v>
      </c>
      <c r="BJ6" s="6">
        <f t="shared" si="6"/>
        <v>5712500</v>
      </c>
      <c r="BK6" s="6">
        <f t="shared" si="7"/>
        <v>6450000</v>
      </c>
      <c r="BM6" s="25">
        <f t="shared" si="14"/>
        <v>6450000</v>
      </c>
      <c r="BN6" s="24">
        <f t="shared" si="8"/>
        <v>3450000</v>
      </c>
      <c r="BO6" s="76">
        <f t="shared" si="9"/>
        <v>73.638968481375372</v>
      </c>
      <c r="BP6" t="b">
        <f t="shared" si="15"/>
        <v>1</v>
      </c>
      <c r="BQ6" s="75">
        <f t="shared" si="10"/>
        <v>1.4941860465116279</v>
      </c>
      <c r="BR6" s="77">
        <f t="shared" si="16"/>
        <v>2.8683139534883719</v>
      </c>
      <c r="BS6" s="78">
        <f t="shared" si="17"/>
        <v>-186.83139534883719</v>
      </c>
      <c r="BT6" s="26" t="b">
        <f t="shared" si="18"/>
        <v>1</v>
      </c>
      <c r="BU6">
        <f t="shared" si="11"/>
        <v>74</v>
      </c>
      <c r="BV6" s="4">
        <f t="shared" si="19"/>
        <v>74</v>
      </c>
      <c r="BW6" t="str">
        <f t="shared" si="12"/>
        <v>Komunální kořenové čistírny</v>
      </c>
    </row>
    <row r="7" spans="1:75" x14ac:dyDescent="0.3">
      <c r="A7" s="46" t="str">
        <f>+Hodnocení!A16</f>
        <v>ANO</v>
      </c>
      <c r="B7" s="1" t="s">
        <v>21</v>
      </c>
      <c r="C7" s="1"/>
      <c r="F7" t="s">
        <v>22</v>
      </c>
      <c r="G7" s="2">
        <f>+G2</f>
        <v>25</v>
      </c>
      <c r="T7" s="46">
        <f>+Hodnocení!D16</f>
        <v>0</v>
      </c>
      <c r="U7" s="4">
        <f>+X7*T7*1000</f>
        <v>0</v>
      </c>
      <c r="W7" s="46">
        <f>+Hodnocení!E16</f>
        <v>0</v>
      </c>
      <c r="X7">
        <f t="shared" si="0"/>
        <v>13013</v>
      </c>
      <c r="Y7" s="4">
        <f t="shared" si="1"/>
        <v>0</v>
      </c>
      <c r="Z7" t="s">
        <v>22</v>
      </c>
      <c r="AA7" s="4" t="s">
        <v>22</v>
      </c>
      <c r="AH7" s="16">
        <f t="shared" si="2"/>
        <v>0</v>
      </c>
      <c r="AK7" s="4">
        <f>+D41</f>
        <v>135000</v>
      </c>
      <c r="AL7" s="18">
        <f>Y7+AK7*G7</f>
        <v>3375000</v>
      </c>
      <c r="AN7" t="s">
        <v>22</v>
      </c>
      <c r="AO7" t="s">
        <v>22</v>
      </c>
      <c r="AS7" s="4" t="s">
        <v>22</v>
      </c>
      <c r="AT7" s="4" t="s">
        <v>22</v>
      </c>
      <c r="AU7" s="4">
        <f>+$D$53*$AT$11+$D$60</f>
        <v>6800</v>
      </c>
      <c r="AW7" s="9">
        <f>+G7*AU7</f>
        <v>170000</v>
      </c>
      <c r="AY7">
        <f t="shared" si="3"/>
        <v>90</v>
      </c>
      <c r="AZ7" s="4">
        <f t="shared" si="4"/>
        <v>0</v>
      </c>
      <c r="BA7" s="4"/>
      <c r="BB7" s="4"/>
      <c r="BE7">
        <f t="shared" si="13"/>
        <v>40</v>
      </c>
      <c r="BF7" s="4">
        <f>+AJ7/BE7</f>
        <v>0</v>
      </c>
      <c r="BG7" s="9">
        <f>+AZ7+AL7/BE7</f>
        <v>84375</v>
      </c>
      <c r="BI7" s="6">
        <f t="shared" si="5"/>
        <v>5918750</v>
      </c>
      <c r="BJ7" s="6">
        <f t="shared" si="6"/>
        <v>7190625</v>
      </c>
      <c r="BK7" s="6">
        <f t="shared" si="7"/>
        <v>8462500</v>
      </c>
      <c r="BM7" s="25">
        <f t="shared" si="14"/>
        <v>8462500</v>
      </c>
      <c r="BN7" s="24">
        <f t="shared" si="8"/>
        <v>5462500</v>
      </c>
      <c r="BO7" s="76">
        <f t="shared" si="9"/>
        <v>58.261700095510982</v>
      </c>
      <c r="BP7" t="b">
        <f t="shared" si="15"/>
        <v>1</v>
      </c>
      <c r="BQ7" s="75">
        <f t="shared" si="10"/>
        <v>0.90103397341211222</v>
      </c>
      <c r="BR7" s="77">
        <f t="shared" si="16"/>
        <v>3.4614660265878876</v>
      </c>
      <c r="BS7" s="78">
        <f t="shared" si="17"/>
        <v>-246.14660265878877</v>
      </c>
      <c r="BT7" s="26" t="b">
        <f t="shared" si="18"/>
        <v>1</v>
      </c>
      <c r="BU7">
        <f t="shared" si="11"/>
        <v>58</v>
      </c>
      <c r="BV7" s="4">
        <f t="shared" si="19"/>
        <v>58</v>
      </c>
      <c r="BW7" t="str">
        <f t="shared" si="12"/>
        <v>Domovní čistírny odpadních vod</v>
      </c>
    </row>
    <row r="8" spans="1:75" x14ac:dyDescent="0.3">
      <c r="A8" s="46" t="str">
        <f>+Hodnocení!A17</f>
        <v>ANO</v>
      </c>
      <c r="B8" s="1" t="s">
        <v>23</v>
      </c>
      <c r="C8" s="12"/>
      <c r="F8" t="s">
        <v>22</v>
      </c>
      <c r="G8" s="2">
        <f>+G2</f>
        <v>25</v>
      </c>
      <c r="T8" s="46">
        <f>+Hodnocení!D17</f>
        <v>0</v>
      </c>
      <c r="U8" s="4">
        <f>+X8*T8*1000</f>
        <v>0</v>
      </c>
      <c r="W8" s="46">
        <f>+Hodnocení!E17</f>
        <v>0</v>
      </c>
      <c r="X8">
        <f t="shared" si="0"/>
        <v>13013</v>
      </c>
      <c r="Y8" s="4">
        <f t="shared" si="1"/>
        <v>0</v>
      </c>
      <c r="Z8" t="s">
        <v>22</v>
      </c>
      <c r="AA8" s="4" t="s">
        <v>22</v>
      </c>
      <c r="AH8" s="16">
        <f t="shared" si="2"/>
        <v>0</v>
      </c>
      <c r="AK8" s="4">
        <f>+D47</f>
        <v>150000</v>
      </c>
      <c r="AL8" s="18">
        <f>Y8+AK8*G8</f>
        <v>3750000</v>
      </c>
      <c r="AS8" s="4"/>
      <c r="AT8" s="4"/>
      <c r="AU8" s="4">
        <f>+$D$53*$AT$11+$D$60</f>
        <v>6800</v>
      </c>
      <c r="AW8" s="9">
        <f>+G8*AU8</f>
        <v>170000</v>
      </c>
      <c r="AY8">
        <f t="shared" si="3"/>
        <v>90</v>
      </c>
      <c r="AZ8" s="4">
        <f t="shared" si="4"/>
        <v>0</v>
      </c>
      <c r="BA8" s="4"/>
      <c r="BB8" s="4"/>
      <c r="BE8">
        <f t="shared" si="13"/>
        <v>40</v>
      </c>
      <c r="BG8" s="9">
        <f>+AZ8+AL8/BE8</f>
        <v>93750</v>
      </c>
      <c r="BI8" s="6">
        <f t="shared" si="5"/>
        <v>6387500</v>
      </c>
      <c r="BJ8" s="6">
        <f t="shared" si="6"/>
        <v>7706250</v>
      </c>
      <c r="BK8" s="6">
        <f t="shared" si="7"/>
        <v>9025000</v>
      </c>
      <c r="BM8" s="25">
        <f t="shared" si="14"/>
        <v>9025000</v>
      </c>
      <c r="BN8" s="24">
        <f t="shared" si="8"/>
        <v>6025000</v>
      </c>
      <c r="BO8" s="76">
        <f t="shared" si="9"/>
        <v>53.963705826170006</v>
      </c>
      <c r="BP8" t="b">
        <f t="shared" si="15"/>
        <v>1</v>
      </c>
      <c r="BQ8" s="75">
        <f t="shared" si="10"/>
        <v>0.7825484764542936</v>
      </c>
      <c r="BR8" s="77">
        <f t="shared" si="16"/>
        <v>3.5799515235457062</v>
      </c>
      <c r="BS8" s="78">
        <f t="shared" si="17"/>
        <v>-257.99515235457062</v>
      </c>
      <c r="BT8" s="26" t="b">
        <f t="shared" si="18"/>
        <v>1</v>
      </c>
      <c r="BU8">
        <f t="shared" si="11"/>
        <v>54</v>
      </c>
      <c r="BV8" s="4">
        <f t="shared" si="19"/>
        <v>54</v>
      </c>
      <c r="BW8" t="str">
        <f t="shared" si="12"/>
        <v>Domovní kořenové čistírny</v>
      </c>
    </row>
    <row r="9" spans="1:75" x14ac:dyDescent="0.3">
      <c r="A9" s="46" t="str">
        <f>+Hodnocení!A18</f>
        <v>ANO</v>
      </c>
      <c r="B9" s="1" t="s">
        <v>24</v>
      </c>
      <c r="C9" s="12"/>
      <c r="F9" t="s">
        <v>22</v>
      </c>
      <c r="G9" s="2">
        <f>+G2</f>
        <v>25</v>
      </c>
      <c r="T9" s="46">
        <f>+Hodnocení!D18</f>
        <v>0</v>
      </c>
      <c r="U9" s="4">
        <f>+X9*T9*1000</f>
        <v>0</v>
      </c>
      <c r="W9" s="46">
        <f>+Hodnocení!E18</f>
        <v>0</v>
      </c>
      <c r="X9">
        <f t="shared" si="0"/>
        <v>13013</v>
      </c>
      <c r="Y9" s="4">
        <f t="shared" si="1"/>
        <v>0</v>
      </c>
      <c r="Z9" t="s">
        <v>22</v>
      </c>
      <c r="AA9" s="4" t="s">
        <v>22</v>
      </c>
      <c r="AH9" s="16">
        <f t="shared" si="2"/>
        <v>0</v>
      </c>
      <c r="AK9" s="4">
        <f>+D33</f>
        <v>88000</v>
      </c>
      <c r="AL9" s="18">
        <f>Y9+AK9*G9</f>
        <v>2200000</v>
      </c>
      <c r="AN9" t="s">
        <v>22</v>
      </c>
      <c r="AO9" t="s">
        <v>22</v>
      </c>
      <c r="AS9" s="4" t="s">
        <v>22</v>
      </c>
      <c r="AT9" s="4" t="s">
        <v>22</v>
      </c>
      <c r="AU9" s="4">
        <f>+$D$53*$AT$11+$D$60</f>
        <v>6800</v>
      </c>
      <c r="AV9" s="4"/>
      <c r="AW9" s="9">
        <f>+G9*AU9</f>
        <v>170000</v>
      </c>
      <c r="AY9">
        <f t="shared" si="3"/>
        <v>90</v>
      </c>
      <c r="AZ9" s="4">
        <f t="shared" si="4"/>
        <v>0</v>
      </c>
      <c r="BA9" s="4"/>
      <c r="BB9" s="4"/>
      <c r="BE9">
        <f t="shared" si="13"/>
        <v>40</v>
      </c>
      <c r="BG9" s="9">
        <f>+AZ9+AL9/BE9</f>
        <v>55000</v>
      </c>
      <c r="BI9" s="6">
        <f t="shared" si="5"/>
        <v>4450000</v>
      </c>
      <c r="BJ9" s="6">
        <f t="shared" si="6"/>
        <v>5575000</v>
      </c>
      <c r="BK9" s="6">
        <f t="shared" si="7"/>
        <v>6700000</v>
      </c>
      <c r="BM9" s="25">
        <f t="shared" si="14"/>
        <v>6700000</v>
      </c>
      <c r="BN9" s="24">
        <f t="shared" si="8"/>
        <v>3700000</v>
      </c>
      <c r="BO9" s="76">
        <f t="shared" si="9"/>
        <v>71.728748806112705</v>
      </c>
      <c r="BP9" t="b">
        <f t="shared" si="15"/>
        <v>1</v>
      </c>
      <c r="BQ9" s="75">
        <f t="shared" si="10"/>
        <v>1.4011194029850746</v>
      </c>
      <c r="BR9" s="77">
        <f t="shared" si="16"/>
        <v>2.9613805970149252</v>
      </c>
      <c r="BS9" s="78">
        <f t="shared" si="17"/>
        <v>-196.13805970149252</v>
      </c>
      <c r="BT9" s="26" t="b">
        <f t="shared" si="18"/>
        <v>1</v>
      </c>
      <c r="BU9">
        <f t="shared" si="11"/>
        <v>72</v>
      </c>
      <c r="BV9" s="4">
        <f t="shared" si="19"/>
        <v>72</v>
      </c>
      <c r="BW9" t="str">
        <f t="shared" si="12"/>
        <v>Septik se zemním filtrem</v>
      </c>
    </row>
    <row r="10" spans="1:75" x14ac:dyDescent="0.3">
      <c r="A10" s="46" t="str">
        <f>+Hodnocení!A19</f>
        <v>ANO</v>
      </c>
      <c r="B10" s="1" t="s">
        <v>25</v>
      </c>
      <c r="C10" s="1" t="s">
        <v>110</v>
      </c>
      <c r="D10">
        <v>0.8</v>
      </c>
      <c r="E10" t="s">
        <v>111</v>
      </c>
      <c r="F10" t="s">
        <v>22</v>
      </c>
      <c r="G10" s="2">
        <f>+G2</f>
        <v>25</v>
      </c>
      <c r="T10" t="s">
        <v>22</v>
      </c>
      <c r="U10" t="s">
        <v>22</v>
      </c>
      <c r="W10" t="s">
        <v>22</v>
      </c>
      <c r="X10" s="4" t="s">
        <v>22</v>
      </c>
      <c r="Y10" s="4" t="s">
        <v>22</v>
      </c>
      <c r="Z10" t="s">
        <v>22</v>
      </c>
      <c r="AA10" s="4" t="s">
        <v>22</v>
      </c>
      <c r="AK10" s="4">
        <f>+D29</f>
        <v>45000</v>
      </c>
      <c r="AL10" s="9">
        <f>+AK10*G10</f>
        <v>1125000</v>
      </c>
      <c r="AN10">
        <f>+D17</f>
        <v>5</v>
      </c>
      <c r="AO10">
        <f>$D$10*D51</f>
        <v>24</v>
      </c>
      <c r="AS10" s="4">
        <f>$D$10*AS11</f>
        <v>64</v>
      </c>
      <c r="AT10" s="4">
        <f>+AN10*AO10+$D$10*$D$55+AS10*$D$54</f>
        <v>1560</v>
      </c>
      <c r="AU10" s="6">
        <f>+($D$16*$D$15/$D$54)*AT10</f>
        <v>18720</v>
      </c>
      <c r="AV10" s="4">
        <f>+AU10*G10</f>
        <v>468000</v>
      </c>
      <c r="AW10" s="10">
        <f>+AV10</f>
        <v>468000</v>
      </c>
      <c r="BE10">
        <f t="shared" si="13"/>
        <v>40</v>
      </c>
      <c r="BG10" s="9">
        <f>+AL10/BE10</f>
        <v>28125</v>
      </c>
      <c r="BI10" s="6">
        <f t="shared" si="5"/>
        <v>6086250</v>
      </c>
      <c r="BJ10" s="6">
        <f t="shared" si="6"/>
        <v>8566875</v>
      </c>
      <c r="BK10" s="6">
        <f t="shared" si="7"/>
        <v>11047500</v>
      </c>
      <c r="BM10" s="25">
        <f t="shared" si="14"/>
        <v>11047500</v>
      </c>
      <c r="BN10" s="24">
        <f t="shared" si="8"/>
        <v>8047500</v>
      </c>
      <c r="BO10" s="76">
        <f t="shared" si="9"/>
        <v>38.510028653295123</v>
      </c>
      <c r="BP10" t="b">
        <f t="shared" si="15"/>
        <v>1</v>
      </c>
      <c r="BQ10" s="75">
        <f t="shared" si="10"/>
        <v>0.45621181262729116</v>
      </c>
      <c r="BR10" s="77">
        <f t="shared" si="16"/>
        <v>3.9062881873727084</v>
      </c>
      <c r="BS10" s="78">
        <f t="shared" si="17"/>
        <v>-290.62881873727082</v>
      </c>
      <c r="BT10" s="26" t="b">
        <f t="shared" si="18"/>
        <v>1</v>
      </c>
      <c r="BU10">
        <f t="shared" si="11"/>
        <v>39</v>
      </c>
      <c r="BV10" s="4">
        <f t="shared" si="19"/>
        <v>39</v>
      </c>
      <c r="BW10" t="str">
        <f t="shared" si="12"/>
        <v>Bezodtoká jímka – žumpa, odvoz na ČOV v obci</v>
      </c>
    </row>
    <row r="11" spans="1:75" x14ac:dyDescent="0.3">
      <c r="A11" s="46" t="str">
        <f>+Hodnocení!A20</f>
        <v>ANO</v>
      </c>
      <c r="B11" s="1" t="s">
        <v>26</v>
      </c>
      <c r="D11" s="1"/>
      <c r="F11" t="s">
        <v>22</v>
      </c>
      <c r="G11" s="2">
        <f>+G2</f>
        <v>25</v>
      </c>
      <c r="T11" t="s">
        <v>22</v>
      </c>
      <c r="U11" t="s">
        <v>22</v>
      </c>
      <c r="W11" t="s">
        <v>22</v>
      </c>
      <c r="X11" s="4" t="s">
        <v>22</v>
      </c>
      <c r="Y11" s="4" t="s">
        <v>22</v>
      </c>
      <c r="Z11" t="s">
        <v>22</v>
      </c>
      <c r="AA11" s="4" t="s">
        <v>22</v>
      </c>
      <c r="AK11" s="4">
        <f>+D29</f>
        <v>45000</v>
      </c>
      <c r="AL11" s="9">
        <f>+AK11*G11</f>
        <v>1125000</v>
      </c>
      <c r="AN11">
        <f>+D18</f>
        <v>20</v>
      </c>
      <c r="AO11">
        <f>+D51</f>
        <v>30</v>
      </c>
      <c r="AS11" s="4">
        <f>+D52</f>
        <v>80</v>
      </c>
      <c r="AT11" s="4">
        <f>+AN11*AO11+$D$55+AS11*$D$54</f>
        <v>2400</v>
      </c>
      <c r="AU11" s="6">
        <f>+($D$16*$D$15/$D$54)*AT11</f>
        <v>28800</v>
      </c>
      <c r="AV11" s="4">
        <f>+AU11*G11</f>
        <v>720000</v>
      </c>
      <c r="AW11" s="10">
        <f>+AV11</f>
        <v>720000</v>
      </c>
      <c r="BE11">
        <f t="shared" si="13"/>
        <v>40</v>
      </c>
      <c r="BG11" s="9">
        <f>+AL11/BE11</f>
        <v>28125</v>
      </c>
      <c r="BI11" s="6">
        <f t="shared" si="5"/>
        <v>8606250</v>
      </c>
      <c r="BJ11" s="6">
        <f t="shared" si="6"/>
        <v>12346875</v>
      </c>
      <c r="BK11" s="6">
        <f t="shared" si="7"/>
        <v>16087500</v>
      </c>
      <c r="BM11" s="25">
        <f t="shared" si="14"/>
        <v>16087500</v>
      </c>
      <c r="BN11" s="24">
        <f t="shared" si="8"/>
        <v>13087500</v>
      </c>
      <c r="BO11" s="76">
        <f t="shared" si="9"/>
        <v>0</v>
      </c>
      <c r="BP11" t="b">
        <f t="shared" si="15"/>
        <v>1</v>
      </c>
      <c r="BQ11" s="75">
        <f t="shared" si="10"/>
        <v>0</v>
      </c>
      <c r="BR11" s="77">
        <f t="shared" si="16"/>
        <v>4.3624999999999998</v>
      </c>
      <c r="BS11" s="78">
        <f t="shared" si="17"/>
        <v>-336.25</v>
      </c>
      <c r="BT11" s="26" t="b">
        <f t="shared" si="18"/>
        <v>1</v>
      </c>
      <c r="BU11">
        <f t="shared" si="11"/>
        <v>0</v>
      </c>
      <c r="BV11" s="4">
        <f t="shared" si="19"/>
        <v>0</v>
      </c>
      <c r="BW11" t="str">
        <f t="shared" si="12"/>
        <v>Bezodtoká jímka – žumpa, odvoz na ČOV mimo obec</v>
      </c>
    </row>
    <row r="12" spans="1:75" x14ac:dyDescent="0.3">
      <c r="A12" s="46" t="str">
        <f>+Hodnocení!A21</f>
        <v>ANO</v>
      </c>
      <c r="B12" s="1" t="s">
        <v>27</v>
      </c>
      <c r="F12" t="s">
        <v>22</v>
      </c>
      <c r="G12" s="2">
        <f>+G2</f>
        <v>25</v>
      </c>
      <c r="T12" t="s">
        <v>22</v>
      </c>
      <c r="U12" t="s">
        <v>22</v>
      </c>
      <c r="W12" t="s">
        <v>22</v>
      </c>
      <c r="X12" s="4" t="s">
        <v>22</v>
      </c>
      <c r="Y12" s="4" t="s">
        <v>22</v>
      </c>
      <c r="Z12" t="s">
        <v>22</v>
      </c>
      <c r="AA12" s="4" t="s">
        <v>22</v>
      </c>
      <c r="AI12" s="4">
        <f>+D22</f>
        <v>22324.399999999998</v>
      </c>
      <c r="AJ12" s="4">
        <f>+F2*AI12</f>
        <v>2232440</v>
      </c>
      <c r="AK12" s="4">
        <f>+D29</f>
        <v>45000</v>
      </c>
      <c r="AL12" s="9">
        <f>+AK12*G12+AJ12</f>
        <v>3357440</v>
      </c>
      <c r="AN12">
        <f>+AN10</f>
        <v>5</v>
      </c>
      <c r="AO12">
        <f>+AO10</f>
        <v>24</v>
      </c>
      <c r="AS12" s="4">
        <f>+AS10</f>
        <v>64</v>
      </c>
      <c r="AT12" s="4">
        <f>+AN12*AO12+$D$10*$D$55+AS12*$D$54</f>
        <v>1560</v>
      </c>
      <c r="AU12" s="6">
        <f>+($D$16*$D$15/$D$54)*AT12</f>
        <v>18720</v>
      </c>
      <c r="AV12" s="4">
        <f>+AU12*G12</f>
        <v>468000</v>
      </c>
      <c r="AW12" s="10">
        <f>+AV12</f>
        <v>468000</v>
      </c>
      <c r="BE12">
        <f t="shared" si="13"/>
        <v>40</v>
      </c>
      <c r="BG12" s="9">
        <f>+(AL12-AJ12)/BE12</f>
        <v>28125</v>
      </c>
      <c r="BI12" s="6">
        <f t="shared" si="5"/>
        <v>8318690</v>
      </c>
      <c r="BJ12" s="6">
        <f t="shared" si="6"/>
        <v>10799315</v>
      </c>
      <c r="BK12" s="6">
        <f t="shared" si="7"/>
        <v>13279940</v>
      </c>
      <c r="BM12" s="25">
        <f t="shared" si="14"/>
        <v>13279940</v>
      </c>
      <c r="BN12" s="24">
        <f t="shared" si="8"/>
        <v>10279940</v>
      </c>
      <c r="BO12" s="76">
        <f t="shared" si="9"/>
        <v>21.452225405921677</v>
      </c>
      <c r="BP12" t="b">
        <f t="shared" si="15"/>
        <v>1</v>
      </c>
      <c r="BQ12" s="75">
        <f t="shared" si="10"/>
        <v>0.21141360578436341</v>
      </c>
      <c r="BR12" s="77">
        <f t="shared" si="16"/>
        <v>4.1510863942156364</v>
      </c>
      <c r="BS12" s="78">
        <f t="shared" si="17"/>
        <v>-315.10863942156362</v>
      </c>
      <c r="BT12" s="26" t="b">
        <f t="shared" si="18"/>
        <v>1</v>
      </c>
      <c r="BU12">
        <f t="shared" si="11"/>
        <v>21</v>
      </c>
      <c r="BV12" s="4">
        <f t="shared" si="19"/>
        <v>21</v>
      </c>
      <c r="BW12" t="str">
        <f t="shared" si="12"/>
        <v>Bezodtoká jímka – žumpa, odvoz na novou ČOV v obci</v>
      </c>
    </row>
    <row r="13" spans="1:75" x14ac:dyDescent="0.3">
      <c r="B13" s="1"/>
      <c r="BN13" s="24"/>
    </row>
    <row r="14" spans="1:75" x14ac:dyDescent="0.3">
      <c r="B14" s="1"/>
    </row>
    <row r="15" spans="1:75" x14ac:dyDescent="0.3">
      <c r="B15" s="1" t="s">
        <v>112</v>
      </c>
      <c r="D15">
        <v>30</v>
      </c>
      <c r="E15" t="s">
        <v>113</v>
      </c>
      <c r="BM15" s="25">
        <f>MIN(BM4:BM12)</f>
        <v>3000000</v>
      </c>
      <c r="BN15" t="s">
        <v>114</v>
      </c>
      <c r="BT15" s="6"/>
      <c r="BU15" s="6"/>
    </row>
    <row r="16" spans="1:75" x14ac:dyDescent="0.3">
      <c r="B16" s="1" t="s">
        <v>115</v>
      </c>
      <c r="D16">
        <v>4</v>
      </c>
      <c r="E16" t="s">
        <v>116</v>
      </c>
      <c r="AU16" s="6"/>
      <c r="BM16" s="25">
        <f>MAX(BM4:BM12)</f>
        <v>16087500</v>
      </c>
      <c r="BN16" t="s">
        <v>117</v>
      </c>
      <c r="BT16" s="6"/>
      <c r="BU16" s="6"/>
    </row>
    <row r="17" spans="1:73" x14ac:dyDescent="0.3">
      <c r="B17" s="1" t="s">
        <v>118</v>
      </c>
      <c r="D17">
        <v>5</v>
      </c>
      <c r="E17" t="s">
        <v>99</v>
      </c>
      <c r="BM17" s="25">
        <f>+BM16-BM15</f>
        <v>13087500</v>
      </c>
      <c r="BN17" t="s">
        <v>119</v>
      </c>
      <c r="BT17" s="6"/>
      <c r="BU17" s="6"/>
    </row>
    <row r="18" spans="1:73" x14ac:dyDescent="0.3">
      <c r="B18" s="1" t="s">
        <v>120</v>
      </c>
      <c r="D18">
        <v>20</v>
      </c>
      <c r="E18" t="s">
        <v>99</v>
      </c>
      <c r="BM18" s="75">
        <f>+BM16/BM15-1</f>
        <v>4.3624999999999998</v>
      </c>
      <c r="BN18" t="s">
        <v>165</v>
      </c>
    </row>
    <row r="19" spans="1:73" x14ac:dyDescent="0.3">
      <c r="C19" s="1"/>
      <c r="D19" s="1"/>
      <c r="X19" s="4"/>
      <c r="Y19" s="4"/>
      <c r="AS19" s="4"/>
      <c r="AT19" s="4"/>
      <c r="AU19" s="6"/>
      <c r="AV19" s="6"/>
      <c r="AW19" s="9"/>
      <c r="BG19" s="9"/>
      <c r="BI19" s="6"/>
      <c r="BJ19" s="6"/>
    </row>
    <row r="20" spans="1:73" s="7" customFormat="1" ht="6.5" customHeight="1" x14ac:dyDescent="0.3"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17"/>
      <c r="AW20" s="11"/>
      <c r="BG20" s="11"/>
      <c r="BH20" s="2"/>
    </row>
    <row r="21" spans="1:73" x14ac:dyDescent="0.3">
      <c r="A21" t="s">
        <v>121</v>
      </c>
      <c r="G21" t="s">
        <v>170</v>
      </c>
      <c r="H21" t="s">
        <v>171</v>
      </c>
      <c r="I21"/>
      <c r="K21" s="21" t="s">
        <v>122</v>
      </c>
      <c r="L21"/>
      <c r="M21" s="22"/>
      <c r="N21" s="22"/>
      <c r="O21" s="23"/>
      <c r="P21" s="23"/>
      <c r="Q21" s="23"/>
      <c r="R21" s="23"/>
      <c r="S21" s="23"/>
      <c r="T21" s="20"/>
      <c r="U21" s="4"/>
    </row>
    <row r="22" spans="1:73" x14ac:dyDescent="0.3">
      <c r="B22" t="s">
        <v>123</v>
      </c>
      <c r="D22" s="86">
        <f>15946*L34</f>
        <v>22324.399999999998</v>
      </c>
      <c r="E22" t="s">
        <v>96</v>
      </c>
      <c r="G22" t="s">
        <v>189</v>
      </c>
      <c r="H22" t="s">
        <v>174</v>
      </c>
      <c r="I22"/>
      <c r="K22" s="22"/>
      <c r="L22"/>
      <c r="M22" s="22"/>
      <c r="N22" s="22"/>
      <c r="O22" s="23"/>
      <c r="P22" s="23"/>
      <c r="Q22" s="23"/>
      <c r="R22" s="23"/>
      <c r="S22" s="23"/>
      <c r="T22" s="20"/>
      <c r="U22" s="4"/>
    </row>
    <row r="23" spans="1:73" x14ac:dyDescent="0.3">
      <c r="B23" t="s">
        <v>85</v>
      </c>
      <c r="D23" s="86">
        <f>4829*L34</f>
        <v>6760.5999999999995</v>
      </c>
      <c r="E23" t="s">
        <v>91</v>
      </c>
      <c r="G23" t="s">
        <v>189</v>
      </c>
      <c r="H23" t="s">
        <v>174</v>
      </c>
      <c r="I23"/>
      <c r="K23" s="22" t="s">
        <v>188</v>
      </c>
      <c r="L23"/>
      <c r="M23"/>
      <c r="N23" s="22"/>
      <c r="O23" s="23"/>
      <c r="P23" s="23"/>
      <c r="Q23" s="23"/>
      <c r="R23" s="23"/>
      <c r="S23" s="23"/>
      <c r="T23" s="20"/>
      <c r="U23" s="4"/>
    </row>
    <row r="24" spans="1:73" x14ac:dyDescent="0.3">
      <c r="B24" t="s">
        <v>84</v>
      </c>
      <c r="D24" s="86">
        <f>9295*L34</f>
        <v>13013</v>
      </c>
      <c r="E24" t="s">
        <v>91</v>
      </c>
      <c r="G24" t="s">
        <v>189</v>
      </c>
      <c r="H24" t="s">
        <v>174</v>
      </c>
      <c r="I24"/>
      <c r="K24" s="22"/>
      <c r="L24"/>
      <c r="M24"/>
      <c r="N24"/>
      <c r="O24" s="23"/>
      <c r="P24" s="23"/>
      <c r="Q24" s="23"/>
      <c r="R24" s="23"/>
      <c r="S24" s="23"/>
      <c r="T24" s="20"/>
      <c r="U24" s="4"/>
    </row>
    <row r="25" spans="1:73" x14ac:dyDescent="0.3">
      <c r="B25" t="s">
        <v>124</v>
      </c>
      <c r="D25" s="86">
        <f>25000*L34</f>
        <v>35000</v>
      </c>
      <c r="E25" t="s">
        <v>96</v>
      </c>
      <c r="G25" t="s">
        <v>189</v>
      </c>
      <c r="H25" t="s">
        <v>174</v>
      </c>
      <c r="I25"/>
      <c r="K25" s="22"/>
      <c r="L25"/>
      <c r="M25"/>
      <c r="N25" s="22"/>
      <c r="O25" s="23"/>
      <c r="P25" s="23"/>
      <c r="Q25" s="23"/>
      <c r="R25" s="23"/>
      <c r="S25" s="23"/>
      <c r="T25" s="20"/>
      <c r="U25" s="4"/>
    </row>
    <row r="26" spans="1:73" x14ac:dyDescent="0.3">
      <c r="B26" t="s">
        <v>10</v>
      </c>
      <c r="C26" t="s">
        <v>125</v>
      </c>
      <c r="D26" s="86">
        <f>435000*L34</f>
        <v>609000</v>
      </c>
      <c r="E26" t="s">
        <v>94</v>
      </c>
      <c r="G26" t="s">
        <v>189</v>
      </c>
      <c r="H26" t="s">
        <v>174</v>
      </c>
      <c r="I26"/>
      <c r="K26" s="22"/>
      <c r="L26"/>
      <c r="M26"/>
      <c r="N26" s="22"/>
      <c r="O26" s="23"/>
      <c r="P26" s="23"/>
      <c r="Q26" s="23"/>
      <c r="R26" s="23"/>
      <c r="S26" s="23"/>
      <c r="T26" s="20"/>
      <c r="U26" s="4"/>
    </row>
    <row r="27" spans="1:73" x14ac:dyDescent="0.3">
      <c r="B27" t="s">
        <v>11</v>
      </c>
      <c r="C27" t="s">
        <v>95</v>
      </c>
      <c r="D27" s="86">
        <f>80000*L30</f>
        <v>80000</v>
      </c>
      <c r="E27" t="s">
        <v>94</v>
      </c>
      <c r="H27" t="s">
        <v>176</v>
      </c>
      <c r="I27"/>
      <c r="K27" s="22" t="s">
        <v>173</v>
      </c>
      <c r="L27"/>
      <c r="M27"/>
      <c r="N27" s="22"/>
      <c r="O27" s="23"/>
      <c r="P27" s="23"/>
      <c r="Q27" s="23"/>
      <c r="R27" s="23"/>
      <c r="S27" s="23"/>
      <c r="T27" s="20"/>
      <c r="U27" s="4"/>
    </row>
    <row r="28" spans="1:73" x14ac:dyDescent="0.3">
      <c r="C28" t="s">
        <v>126</v>
      </c>
      <c r="D28" s="86">
        <f>15000*L30</f>
        <v>15000</v>
      </c>
      <c r="E28" t="s">
        <v>94</v>
      </c>
      <c r="G28" t="s">
        <v>172</v>
      </c>
      <c r="H28" t="s">
        <v>176</v>
      </c>
      <c r="I28"/>
      <c r="K28" s="22" t="s">
        <v>190</v>
      </c>
      <c r="L28" s="22"/>
      <c r="M28" s="22"/>
      <c r="N28" s="22"/>
      <c r="O28" s="23"/>
      <c r="P28" s="23"/>
      <c r="Q28" s="23"/>
      <c r="R28" s="23"/>
      <c r="S28" s="23"/>
      <c r="T28" s="20"/>
      <c r="U28" s="4"/>
    </row>
    <row r="29" spans="1:73" x14ac:dyDescent="0.3">
      <c r="B29" t="s">
        <v>127</v>
      </c>
      <c r="D29" s="87">
        <f>SUM(D30:D31)</f>
        <v>45000</v>
      </c>
      <c r="E29" t="s">
        <v>94</v>
      </c>
      <c r="G29" t="s">
        <v>172</v>
      </c>
      <c r="H29" t="s">
        <v>184</v>
      </c>
      <c r="I29"/>
      <c r="K29" t="s">
        <v>175</v>
      </c>
      <c r="L29" s="19" t="s">
        <v>83</v>
      </c>
      <c r="M29" s="19"/>
      <c r="N29" s="19"/>
      <c r="O29" s="20"/>
      <c r="P29" s="20"/>
      <c r="Q29" s="20"/>
      <c r="R29" s="20"/>
      <c r="S29" s="20"/>
      <c r="T29" s="20"/>
      <c r="U29" s="4"/>
    </row>
    <row r="30" spans="1:73" x14ac:dyDescent="0.3">
      <c r="C30" t="s">
        <v>128</v>
      </c>
      <c r="D30" s="86">
        <f>30000*L30</f>
        <v>30000</v>
      </c>
      <c r="E30" t="s">
        <v>94</v>
      </c>
      <c r="G30" t="s">
        <v>172</v>
      </c>
      <c r="H30" t="s">
        <v>176</v>
      </c>
      <c r="I30"/>
      <c r="K30" t="s">
        <v>176</v>
      </c>
      <c r="L30" s="19">
        <v>1</v>
      </c>
      <c r="M30" s="19">
        <v>2024</v>
      </c>
      <c r="N30" s="79" t="s">
        <v>178</v>
      </c>
      <c r="O30" s="20"/>
      <c r="P30" s="20"/>
      <c r="Q30" s="80" t="s">
        <v>177</v>
      </c>
      <c r="R30" s="20"/>
      <c r="S30" s="20"/>
      <c r="T30" s="4"/>
    </row>
    <row r="31" spans="1:73" x14ac:dyDescent="0.3">
      <c r="C31" t="s">
        <v>129</v>
      </c>
      <c r="D31" s="86">
        <f>15000*L30</f>
        <v>15000</v>
      </c>
      <c r="E31" t="s">
        <v>94</v>
      </c>
      <c r="G31" t="s">
        <v>172</v>
      </c>
      <c r="H31" t="s">
        <v>176</v>
      </c>
      <c r="I31"/>
      <c r="K31" t="s">
        <v>180</v>
      </c>
      <c r="L31">
        <v>1</v>
      </c>
      <c r="M31" s="19">
        <v>2024</v>
      </c>
      <c r="N31" s="79" t="s">
        <v>179</v>
      </c>
      <c r="O31" s="4"/>
      <c r="P31" s="4"/>
      <c r="Q31" s="80" t="s">
        <v>182</v>
      </c>
      <c r="R31" s="4"/>
      <c r="S31" s="4"/>
      <c r="T31" s="4"/>
    </row>
    <row r="32" spans="1:73" x14ac:dyDescent="0.3">
      <c r="D32" s="86"/>
      <c r="H32"/>
      <c r="I32"/>
      <c r="K32" t="s">
        <v>183</v>
      </c>
      <c r="L32">
        <v>1</v>
      </c>
      <c r="M32" s="19">
        <v>2024</v>
      </c>
      <c r="N32" s="79" t="s">
        <v>181</v>
      </c>
      <c r="O32" s="4"/>
      <c r="P32" s="4"/>
      <c r="Q32" s="80" t="s">
        <v>177</v>
      </c>
      <c r="R32" s="4"/>
      <c r="S32" s="4"/>
      <c r="T32" s="4"/>
    </row>
    <row r="33" spans="2:60" x14ac:dyDescent="0.3">
      <c r="B33" t="s">
        <v>130</v>
      </c>
      <c r="D33" s="87">
        <f>SUM(D34:D38)</f>
        <v>88000</v>
      </c>
      <c r="E33" t="s">
        <v>94</v>
      </c>
      <c r="G33" t="s">
        <v>172</v>
      </c>
      <c r="H33" t="s">
        <v>184</v>
      </c>
      <c r="I33"/>
      <c r="K33"/>
      <c r="L33"/>
      <c r="M33"/>
      <c r="N33"/>
      <c r="O33" s="4"/>
      <c r="P33" s="4"/>
      <c r="Q33" s="4"/>
      <c r="R33" s="4"/>
      <c r="S33" s="4"/>
      <c r="T33" s="4"/>
      <c r="U33" s="4"/>
    </row>
    <row r="34" spans="2:60" x14ac:dyDescent="0.3">
      <c r="C34" t="s">
        <v>131</v>
      </c>
      <c r="D34" s="86">
        <f>20000*L30</f>
        <v>20000</v>
      </c>
      <c r="E34" t="s">
        <v>94</v>
      </c>
      <c r="G34" t="s">
        <v>172</v>
      </c>
      <c r="H34" t="s">
        <v>176</v>
      </c>
      <c r="I34"/>
      <c r="K34" t="s">
        <v>189</v>
      </c>
      <c r="L34">
        <v>1.4</v>
      </c>
      <c r="M34" s="19">
        <v>2025</v>
      </c>
      <c r="N34"/>
      <c r="O34" s="4"/>
      <c r="P34" s="4"/>
      <c r="Q34" s="4"/>
      <c r="R34" s="4"/>
      <c r="S34" s="4"/>
      <c r="T34" s="4"/>
      <c r="U34" s="4"/>
    </row>
    <row r="35" spans="2:60" x14ac:dyDescent="0.3">
      <c r="C35" t="s">
        <v>129</v>
      </c>
      <c r="D35" s="86">
        <f>15000*L30</f>
        <v>15000</v>
      </c>
      <c r="E35" t="s">
        <v>94</v>
      </c>
      <c r="G35" t="s">
        <v>172</v>
      </c>
      <c r="H35" t="s">
        <v>176</v>
      </c>
      <c r="I35"/>
      <c r="K35"/>
      <c r="L35"/>
      <c r="M35"/>
      <c r="N35"/>
      <c r="O35" s="4"/>
      <c r="P35" s="4"/>
      <c r="Q35" s="4"/>
      <c r="R35" s="4"/>
      <c r="S35" s="4"/>
      <c r="T35" s="4"/>
      <c r="U35" s="4"/>
    </row>
    <row r="36" spans="2:60" x14ac:dyDescent="0.3">
      <c r="C36" t="s">
        <v>132</v>
      </c>
      <c r="D36" s="86">
        <f>18000*L30</f>
        <v>18000</v>
      </c>
      <c r="E36" t="s">
        <v>94</v>
      </c>
      <c r="G36" t="s">
        <v>172</v>
      </c>
      <c r="H36" t="s">
        <v>176</v>
      </c>
      <c r="I36"/>
      <c r="K36"/>
      <c r="L36"/>
      <c r="M36"/>
      <c r="N36"/>
      <c r="O36" s="4"/>
      <c r="P36" s="4"/>
      <c r="Q36" s="4"/>
      <c r="R36" s="4"/>
      <c r="S36" s="4"/>
      <c r="T36" s="4"/>
      <c r="U36" s="4"/>
    </row>
    <row r="37" spans="2:60" x14ac:dyDescent="0.3">
      <c r="C37" t="s">
        <v>133</v>
      </c>
      <c r="D37" s="86">
        <f>5000*L30</f>
        <v>5000</v>
      </c>
      <c r="E37" t="s">
        <v>94</v>
      </c>
      <c r="G37" t="s">
        <v>172</v>
      </c>
      <c r="H37" t="s">
        <v>176</v>
      </c>
      <c r="I37"/>
      <c r="K37"/>
      <c r="L37"/>
      <c r="M37"/>
      <c r="N37"/>
      <c r="O37" s="4"/>
      <c r="P37" s="4"/>
      <c r="Q37" s="4"/>
      <c r="R37" s="4"/>
      <c r="S37" s="4"/>
      <c r="T37" s="4"/>
      <c r="U37" s="4"/>
    </row>
    <row r="38" spans="2:60" x14ac:dyDescent="0.3">
      <c r="C38" t="s">
        <v>187</v>
      </c>
      <c r="D38" s="86">
        <f>30000*L30</f>
        <v>30000</v>
      </c>
      <c r="E38" t="s">
        <v>94</v>
      </c>
      <c r="G38" t="s">
        <v>172</v>
      </c>
      <c r="H38" t="s">
        <v>176</v>
      </c>
      <c r="I38"/>
      <c r="K38"/>
      <c r="L38"/>
      <c r="M38"/>
      <c r="N38"/>
      <c r="O38" s="4"/>
      <c r="P38" s="4"/>
      <c r="Q38" s="4"/>
      <c r="R38" s="4"/>
      <c r="S38" s="4"/>
      <c r="T38" s="4"/>
      <c r="U38" s="4"/>
    </row>
    <row r="39" spans="2:60" x14ac:dyDescent="0.3">
      <c r="D39" s="88"/>
      <c r="H39"/>
      <c r="I39"/>
      <c r="K39"/>
      <c r="L39"/>
      <c r="M39"/>
      <c r="N39"/>
      <c r="O39" s="4"/>
      <c r="P39" s="4"/>
      <c r="Q39" s="4"/>
      <c r="R39" s="4"/>
      <c r="S39" s="4"/>
      <c r="T39" s="4"/>
      <c r="U39" s="4"/>
    </row>
    <row r="40" spans="2:60" x14ac:dyDescent="0.3">
      <c r="B40" t="s">
        <v>134</v>
      </c>
      <c r="D40" s="88"/>
      <c r="H40"/>
      <c r="I40"/>
      <c r="K40"/>
      <c r="L40"/>
      <c r="M40"/>
      <c r="N40"/>
      <c r="O40" s="4"/>
      <c r="P40" s="4"/>
      <c r="Q40" s="4"/>
      <c r="R40" s="4"/>
      <c r="S40" s="4"/>
      <c r="T40" s="4"/>
      <c r="U40" s="4"/>
    </row>
    <row r="41" spans="2:60" x14ac:dyDescent="0.3">
      <c r="C41" t="s">
        <v>135</v>
      </c>
      <c r="D41" s="87">
        <f>SUM(D42:D45)</f>
        <v>135000</v>
      </c>
      <c r="E41" t="s">
        <v>94</v>
      </c>
      <c r="G41" t="s">
        <v>172</v>
      </c>
      <c r="H41" t="s">
        <v>184</v>
      </c>
      <c r="I41"/>
      <c r="K41"/>
      <c r="L41"/>
      <c r="M41"/>
      <c r="N41"/>
      <c r="O41" s="4"/>
      <c r="P41" s="4"/>
      <c r="Q41" s="4"/>
      <c r="R41" s="4"/>
      <c r="S41" s="4"/>
      <c r="T41" s="4"/>
      <c r="U41" s="4"/>
    </row>
    <row r="42" spans="2:60" x14ac:dyDescent="0.3">
      <c r="C42" t="s">
        <v>86</v>
      </c>
      <c r="D42" s="89">
        <f>78000*L30</f>
        <v>78000</v>
      </c>
      <c r="E42" t="s">
        <v>94</v>
      </c>
      <c r="G42" t="s">
        <v>172</v>
      </c>
      <c r="H42" t="s">
        <v>176</v>
      </c>
      <c r="I42"/>
      <c r="K42"/>
      <c r="L42"/>
      <c r="M42"/>
      <c r="N42"/>
      <c r="O42" s="4"/>
      <c r="P42" s="4"/>
      <c r="Q42" s="4"/>
      <c r="R42" s="4"/>
      <c r="S42" s="4"/>
      <c r="T42" s="4"/>
      <c r="U42" s="4"/>
    </row>
    <row r="43" spans="2:60" x14ac:dyDescent="0.3">
      <c r="C43" t="s">
        <v>185</v>
      </c>
      <c r="D43" s="86">
        <f>40000*L30</f>
        <v>40000</v>
      </c>
      <c r="E43" t="s">
        <v>94</v>
      </c>
      <c r="G43" t="s">
        <v>172</v>
      </c>
      <c r="H43" t="s">
        <v>176</v>
      </c>
      <c r="I43"/>
      <c r="K43"/>
      <c r="L43"/>
      <c r="M43"/>
      <c r="N43"/>
      <c r="O43" s="4"/>
      <c r="P43" s="4"/>
      <c r="Q43" s="4"/>
      <c r="R43" s="4"/>
      <c r="S43" s="4"/>
      <c r="T43" s="4"/>
      <c r="U43" s="4"/>
    </row>
    <row r="44" spans="2:60" x14ac:dyDescent="0.3">
      <c r="C44" t="s">
        <v>186</v>
      </c>
      <c r="D44" s="86">
        <f>17000*L30</f>
        <v>17000</v>
      </c>
      <c r="E44" t="s">
        <v>94</v>
      </c>
      <c r="G44" t="s">
        <v>172</v>
      </c>
      <c r="H44" t="s">
        <v>176</v>
      </c>
      <c r="I44"/>
      <c r="K44"/>
      <c r="L44"/>
      <c r="M44"/>
      <c r="N44"/>
      <c r="O44" s="4"/>
      <c r="P44" s="4"/>
      <c r="Q44" s="4"/>
      <c r="R44" s="4"/>
      <c r="S44" s="4"/>
      <c r="T44" s="4"/>
      <c r="U44" s="4"/>
    </row>
    <row r="45" spans="2:60" x14ac:dyDescent="0.3">
      <c r="D45" s="90"/>
      <c r="H45"/>
      <c r="I45"/>
      <c r="K45"/>
      <c r="L45"/>
      <c r="M45"/>
      <c r="N45"/>
      <c r="O45" s="4"/>
      <c r="P45" s="4"/>
      <c r="Q45" s="4"/>
      <c r="R45" s="4"/>
      <c r="S45" s="4"/>
      <c r="T45" s="4"/>
      <c r="U45" s="4"/>
    </row>
    <row r="46" spans="2:60" x14ac:dyDescent="0.3">
      <c r="D46" s="86"/>
      <c r="H46"/>
      <c r="I46"/>
      <c r="K46"/>
      <c r="L46"/>
      <c r="M46"/>
      <c r="N46"/>
      <c r="O46" s="4"/>
      <c r="P46" s="4"/>
      <c r="Q46" s="4"/>
      <c r="R46" s="4"/>
      <c r="S46" s="4"/>
      <c r="T46" s="4"/>
      <c r="U46" s="4"/>
    </row>
    <row r="47" spans="2:60" x14ac:dyDescent="0.3">
      <c r="B47" t="s">
        <v>136</v>
      </c>
      <c r="D47" s="87">
        <f>150000*L30</f>
        <v>150000</v>
      </c>
      <c r="E47" t="s">
        <v>94</v>
      </c>
      <c r="G47" t="s">
        <v>172</v>
      </c>
      <c r="H47" t="s">
        <v>176</v>
      </c>
      <c r="I47"/>
      <c r="K47"/>
      <c r="L47"/>
      <c r="M47"/>
      <c r="N47"/>
      <c r="O47" s="4"/>
      <c r="P47" s="4"/>
      <c r="Q47" s="4"/>
      <c r="R47" s="4"/>
      <c r="S47" s="4"/>
      <c r="T47" s="4"/>
      <c r="U47" s="4"/>
    </row>
    <row r="48" spans="2:60" s="7" customFormat="1" ht="6.5" customHeight="1" x14ac:dyDescent="0.3">
      <c r="D48" s="91"/>
      <c r="O48" s="8"/>
      <c r="P48" s="8"/>
      <c r="Q48" s="8"/>
      <c r="R48" s="8"/>
      <c r="S48" s="8"/>
      <c r="T48" s="8"/>
      <c r="U48" s="8"/>
      <c r="AH48" s="8"/>
      <c r="AI48" s="8"/>
      <c r="AJ48" s="8"/>
      <c r="AK48" s="8"/>
      <c r="AL48" s="17"/>
      <c r="AW48" s="11"/>
      <c r="BG48" s="11"/>
      <c r="BH48" s="2"/>
    </row>
    <row r="49" spans="1:60" x14ac:dyDescent="0.3">
      <c r="A49" t="s">
        <v>137</v>
      </c>
      <c r="D49" s="86"/>
      <c r="H49"/>
      <c r="I49"/>
      <c r="K49"/>
      <c r="L49"/>
      <c r="M49"/>
      <c r="N49"/>
      <c r="O49" s="4"/>
      <c r="P49" s="4"/>
      <c r="Q49" s="4"/>
      <c r="R49" s="4"/>
      <c r="S49" s="4"/>
      <c r="T49" s="4"/>
      <c r="U49" s="4"/>
    </row>
    <row r="50" spans="1:60" x14ac:dyDescent="0.3">
      <c r="B50" t="s">
        <v>138</v>
      </c>
      <c r="D50" s="86"/>
      <c r="H50"/>
      <c r="I50"/>
      <c r="K50"/>
      <c r="L50"/>
      <c r="M50"/>
      <c r="N50"/>
      <c r="O50" s="4"/>
      <c r="P50" s="4"/>
      <c r="Q50" s="4"/>
      <c r="R50" s="4"/>
      <c r="S50" s="4"/>
      <c r="T50" s="4"/>
      <c r="U50" s="4"/>
    </row>
    <row r="51" spans="1:60" x14ac:dyDescent="0.3">
      <c r="C51" t="s">
        <v>139</v>
      </c>
      <c r="D51" s="86">
        <f>30*L32</f>
        <v>30</v>
      </c>
      <c r="E51" t="s">
        <v>100</v>
      </c>
      <c r="G51" t="s">
        <v>172</v>
      </c>
      <c r="H51" t="s">
        <v>183</v>
      </c>
      <c r="I51"/>
      <c r="K51"/>
      <c r="L51"/>
      <c r="M51"/>
      <c r="N51"/>
      <c r="O51" s="4"/>
      <c r="P51" s="4"/>
      <c r="Q51" s="4"/>
      <c r="R51" s="4"/>
      <c r="S51" s="4"/>
      <c r="T51" s="4"/>
      <c r="U51" s="4"/>
    </row>
    <row r="52" spans="1:60" x14ac:dyDescent="0.3">
      <c r="C52" t="s">
        <v>140</v>
      </c>
      <c r="D52" s="86">
        <f>80*L31</f>
        <v>80</v>
      </c>
      <c r="E52" t="s">
        <v>101</v>
      </c>
      <c r="G52" t="s">
        <v>172</v>
      </c>
      <c r="H52" t="s">
        <v>180</v>
      </c>
      <c r="I52"/>
      <c r="K52"/>
      <c r="L52"/>
      <c r="M52"/>
      <c r="N52"/>
      <c r="O52" s="4"/>
      <c r="P52" s="4"/>
      <c r="Q52" s="4"/>
      <c r="R52" s="4"/>
      <c r="S52" s="4"/>
      <c r="T52" s="4"/>
      <c r="U52" s="4"/>
    </row>
    <row r="53" spans="1:60" x14ac:dyDescent="0.3">
      <c r="C53" t="s">
        <v>141</v>
      </c>
      <c r="D53" s="86">
        <v>2</v>
      </c>
      <c r="E53" t="s">
        <v>142</v>
      </c>
      <c r="H53" t="s">
        <v>184</v>
      </c>
      <c r="I53"/>
      <c r="K53"/>
      <c r="L53"/>
      <c r="M53"/>
      <c r="N53"/>
      <c r="O53" s="4"/>
      <c r="P53" s="4"/>
      <c r="Q53" s="4"/>
      <c r="R53" s="4"/>
      <c r="S53" s="4"/>
      <c r="T53" s="4"/>
      <c r="U53" s="4"/>
    </row>
    <row r="54" spans="1:60" x14ac:dyDescent="0.3">
      <c r="C54" t="s">
        <v>143</v>
      </c>
      <c r="D54" s="86">
        <v>10</v>
      </c>
      <c r="E54" t="s">
        <v>144</v>
      </c>
      <c r="H54" t="s">
        <v>184</v>
      </c>
      <c r="I54"/>
      <c r="K54"/>
      <c r="L54"/>
      <c r="M54"/>
      <c r="N54"/>
      <c r="O54" s="4"/>
      <c r="P54" s="4"/>
      <c r="Q54" s="4"/>
      <c r="R54" s="4"/>
      <c r="S54" s="4"/>
      <c r="T54" s="4"/>
      <c r="U54" s="4"/>
    </row>
    <row r="55" spans="1:60" x14ac:dyDescent="0.3">
      <c r="C55" t="s">
        <v>145</v>
      </c>
      <c r="D55" s="86">
        <f>1000*L32</f>
        <v>1000</v>
      </c>
      <c r="E55" t="s">
        <v>89</v>
      </c>
      <c r="G55" t="s">
        <v>172</v>
      </c>
      <c r="H55" t="s">
        <v>183</v>
      </c>
      <c r="I55"/>
      <c r="K55"/>
      <c r="L55"/>
      <c r="M55"/>
      <c r="N55"/>
      <c r="O55" s="4"/>
      <c r="P55" s="4"/>
      <c r="Q55" s="4"/>
      <c r="R55" s="4"/>
      <c r="S55" s="4"/>
      <c r="T55" s="4"/>
      <c r="U55" s="4"/>
    </row>
    <row r="56" spans="1:60" x14ac:dyDescent="0.3">
      <c r="B56" t="s">
        <v>146</v>
      </c>
      <c r="D56" s="86"/>
      <c r="H56"/>
      <c r="I56"/>
      <c r="K56"/>
      <c r="L56"/>
      <c r="M56"/>
      <c r="N56"/>
      <c r="O56" s="4"/>
      <c r="P56" s="4"/>
      <c r="Q56" s="4"/>
      <c r="R56" s="4"/>
      <c r="S56" s="4"/>
      <c r="T56" s="4"/>
      <c r="U56" s="4"/>
    </row>
    <row r="57" spans="1:60" x14ac:dyDescent="0.3">
      <c r="C57" t="s">
        <v>147</v>
      </c>
      <c r="D57" s="86">
        <f>50*L31</f>
        <v>50</v>
      </c>
      <c r="E57" t="s">
        <v>101</v>
      </c>
      <c r="G57" t="s">
        <v>172</v>
      </c>
      <c r="H57" t="s">
        <v>180</v>
      </c>
      <c r="I57"/>
      <c r="K57"/>
      <c r="L57"/>
      <c r="M57"/>
      <c r="N57"/>
      <c r="O57" s="4"/>
      <c r="P57" s="4"/>
      <c r="Q57" s="4"/>
      <c r="R57" s="4"/>
      <c r="S57" s="4"/>
      <c r="T57" s="4"/>
      <c r="U57" s="4"/>
    </row>
    <row r="58" spans="1:60" x14ac:dyDescent="0.3">
      <c r="C58" t="s">
        <v>148</v>
      </c>
      <c r="D58" s="86">
        <f>30*L31</f>
        <v>30</v>
      </c>
      <c r="E58" t="s">
        <v>101</v>
      </c>
      <c r="G58" t="s">
        <v>172</v>
      </c>
      <c r="H58" t="s">
        <v>180</v>
      </c>
      <c r="I58"/>
      <c r="K58"/>
      <c r="L58"/>
      <c r="M58"/>
      <c r="N58"/>
      <c r="O58" s="4"/>
      <c r="P58" s="4"/>
      <c r="Q58" s="4"/>
      <c r="R58" s="4"/>
      <c r="S58" s="4"/>
      <c r="T58" s="4"/>
      <c r="U58" s="4"/>
    </row>
    <row r="59" spans="1:60" x14ac:dyDescent="0.3">
      <c r="C59" t="s">
        <v>149</v>
      </c>
      <c r="D59" s="86">
        <f>20*L31</f>
        <v>20</v>
      </c>
      <c r="E59" t="s">
        <v>101</v>
      </c>
      <c r="G59" t="s">
        <v>172</v>
      </c>
      <c r="H59" t="s">
        <v>180</v>
      </c>
      <c r="I59"/>
      <c r="K59"/>
      <c r="L59"/>
      <c r="M59"/>
      <c r="N59"/>
      <c r="O59" s="4"/>
      <c r="P59" s="4"/>
      <c r="Q59" s="4"/>
      <c r="R59" s="4"/>
      <c r="S59" s="4"/>
      <c r="T59" s="4"/>
      <c r="U59" s="4"/>
    </row>
    <row r="60" spans="1:60" x14ac:dyDescent="0.3">
      <c r="B60" t="s">
        <v>150</v>
      </c>
      <c r="D60" s="86">
        <f>2000*L32</f>
        <v>2000</v>
      </c>
      <c r="E60" t="s">
        <v>151</v>
      </c>
      <c r="G60" t="s">
        <v>172</v>
      </c>
      <c r="H60" t="s">
        <v>183</v>
      </c>
      <c r="I60"/>
      <c r="K60"/>
      <c r="L60"/>
      <c r="M60"/>
      <c r="N60"/>
      <c r="O60" s="4"/>
      <c r="P60" s="4"/>
      <c r="Q60" s="4"/>
      <c r="R60" s="4"/>
      <c r="S60" s="4"/>
      <c r="T60" s="4"/>
      <c r="U60" s="4"/>
    </row>
    <row r="61" spans="1:60" x14ac:dyDescent="0.3">
      <c r="B61" t="s">
        <v>11</v>
      </c>
      <c r="C61" t="s">
        <v>77</v>
      </c>
      <c r="D61" s="86">
        <f>10*L31</f>
        <v>10</v>
      </c>
      <c r="E61" t="s">
        <v>101</v>
      </c>
      <c r="G61" t="s">
        <v>172</v>
      </c>
      <c r="H61" t="s">
        <v>180</v>
      </c>
      <c r="I61"/>
      <c r="K61"/>
      <c r="L61"/>
      <c r="M61"/>
      <c r="N61"/>
      <c r="O61" s="4"/>
      <c r="P61" s="4"/>
      <c r="Q61" s="4"/>
      <c r="R61" s="4"/>
      <c r="S61" s="4"/>
      <c r="T61" s="4"/>
      <c r="U61" s="4"/>
    </row>
    <row r="62" spans="1:60" x14ac:dyDescent="0.3">
      <c r="D62" s="86"/>
      <c r="H62"/>
      <c r="I62"/>
      <c r="K62"/>
      <c r="L62"/>
      <c r="M62"/>
      <c r="N62"/>
      <c r="O62" s="4"/>
      <c r="P62" s="4"/>
      <c r="Q62" s="4"/>
      <c r="R62" s="4"/>
      <c r="S62" s="4"/>
      <c r="T62" s="4"/>
      <c r="U62" s="4"/>
    </row>
    <row r="63" spans="1:60" s="7" customFormat="1" ht="6.5" customHeight="1" x14ac:dyDescent="0.3">
      <c r="D63" s="91"/>
      <c r="O63" s="8"/>
      <c r="P63" s="8"/>
      <c r="Q63" s="8"/>
      <c r="R63" s="8"/>
      <c r="S63" s="8"/>
      <c r="T63" s="8"/>
      <c r="U63" s="8"/>
      <c r="AH63" s="8"/>
      <c r="AI63" s="8"/>
      <c r="AJ63" s="8"/>
      <c r="AK63" s="8"/>
      <c r="AL63" s="17"/>
      <c r="AW63" s="11"/>
      <c r="BG63" s="11"/>
      <c r="BH63" s="2"/>
    </row>
    <row r="64" spans="1:60" x14ac:dyDescent="0.3">
      <c r="A64" t="s">
        <v>152</v>
      </c>
      <c r="D64" s="86"/>
      <c r="H64"/>
      <c r="I64"/>
      <c r="K64"/>
      <c r="L64"/>
      <c r="M64"/>
      <c r="N64"/>
      <c r="O64" s="4"/>
      <c r="P64" s="4"/>
      <c r="Q64" s="4"/>
      <c r="R64" s="4"/>
      <c r="S64" s="4"/>
      <c r="T64" s="4"/>
      <c r="U64" s="4"/>
    </row>
    <row r="65" spans="1:60" x14ac:dyDescent="0.3">
      <c r="B65" t="s">
        <v>153</v>
      </c>
      <c r="D65" s="86"/>
      <c r="E65">
        <v>90</v>
      </c>
      <c r="G65" t="s">
        <v>154</v>
      </c>
      <c r="H65"/>
      <c r="I65"/>
      <c r="K65"/>
      <c r="L65"/>
      <c r="M65"/>
      <c r="N65"/>
      <c r="O65" s="4"/>
      <c r="P65" s="4"/>
      <c r="Q65" s="4"/>
      <c r="R65" s="4"/>
      <c r="S65" s="4"/>
      <c r="T65" s="4"/>
      <c r="U65" s="4"/>
    </row>
    <row r="66" spans="1:60" x14ac:dyDescent="0.3">
      <c r="B66" t="s">
        <v>155</v>
      </c>
      <c r="D66" s="86"/>
      <c r="E66">
        <v>40</v>
      </c>
      <c r="G66" t="s">
        <v>154</v>
      </c>
      <c r="H66"/>
      <c r="I66"/>
      <c r="K66"/>
      <c r="L66"/>
      <c r="M66"/>
      <c r="N66"/>
      <c r="O66" s="4"/>
      <c r="P66" s="4"/>
      <c r="Q66" s="4"/>
      <c r="R66" s="4"/>
      <c r="S66" s="4"/>
      <c r="T66" s="4"/>
      <c r="U66" s="4"/>
    </row>
    <row r="67" spans="1:60" x14ac:dyDescent="0.3">
      <c r="B67" t="s">
        <v>126</v>
      </c>
      <c r="D67" s="86"/>
      <c r="E67">
        <v>10</v>
      </c>
      <c r="G67" t="s">
        <v>154</v>
      </c>
      <c r="H67"/>
      <c r="I67"/>
      <c r="K67"/>
      <c r="L67"/>
      <c r="M67"/>
      <c r="N67"/>
      <c r="O67" s="4"/>
      <c r="P67" s="4"/>
      <c r="Q67" s="4"/>
      <c r="R67" s="4"/>
      <c r="S67" s="4"/>
      <c r="T67" s="4"/>
      <c r="U67" s="4"/>
    </row>
    <row r="68" spans="1:60" x14ac:dyDescent="0.3">
      <c r="D68" s="86"/>
      <c r="H68"/>
      <c r="I68"/>
      <c r="K68"/>
      <c r="L68"/>
      <c r="M68"/>
      <c r="N68"/>
      <c r="O68" s="4"/>
      <c r="P68" s="4"/>
      <c r="Q68" s="4"/>
      <c r="R68" s="4"/>
      <c r="S68" s="4"/>
      <c r="T68" s="4"/>
      <c r="U68" s="4"/>
    </row>
    <row r="69" spans="1:60" x14ac:dyDescent="0.3">
      <c r="D69" s="86"/>
      <c r="H69"/>
      <c r="I69"/>
      <c r="K69"/>
      <c r="L69"/>
      <c r="M69"/>
      <c r="N69"/>
      <c r="O69" s="4"/>
      <c r="P69" s="4"/>
      <c r="Q69" s="4"/>
      <c r="R69" s="4"/>
      <c r="S69" s="4"/>
      <c r="T69" s="4"/>
      <c r="U69" s="4"/>
    </row>
    <row r="70" spans="1:60" s="7" customFormat="1" ht="6.5" customHeight="1" x14ac:dyDescent="0.3">
      <c r="D70" s="91"/>
      <c r="O70" s="8"/>
      <c r="P70" s="8"/>
      <c r="Q70" s="8"/>
      <c r="R70" s="8"/>
      <c r="S70" s="8"/>
      <c r="T70" s="8"/>
      <c r="U70" s="8"/>
      <c r="AH70" s="8"/>
      <c r="AI70" s="8"/>
      <c r="AJ70" s="8"/>
      <c r="AK70" s="8"/>
      <c r="AL70" s="17"/>
      <c r="AW70" s="11"/>
      <c r="BG70" s="11"/>
      <c r="BH70" s="2"/>
    </row>
    <row r="71" spans="1:60" x14ac:dyDescent="0.3">
      <c r="A71" t="s">
        <v>18</v>
      </c>
      <c r="B71" s="52" t="s">
        <v>156</v>
      </c>
      <c r="D71" s="86"/>
      <c r="H71"/>
      <c r="I71"/>
      <c r="K71"/>
      <c r="L71"/>
      <c r="M71"/>
      <c r="N71"/>
      <c r="O71" s="4"/>
      <c r="P71" s="4"/>
      <c r="Q71" s="4"/>
      <c r="R71" s="4"/>
      <c r="S71" s="4"/>
      <c r="T71" s="4"/>
      <c r="U71" s="4"/>
    </row>
    <row r="72" spans="1:60" x14ac:dyDescent="0.3">
      <c r="A72" t="s">
        <v>16</v>
      </c>
      <c r="D72" s="86"/>
      <c r="H72"/>
      <c r="I72"/>
      <c r="K72"/>
      <c r="L72"/>
      <c r="M72"/>
      <c r="N72"/>
      <c r="O72" s="4"/>
      <c r="P72" s="4"/>
      <c r="Q72" s="4"/>
      <c r="R72" s="4"/>
      <c r="S72" s="4"/>
      <c r="T72" s="4"/>
      <c r="U72" s="4"/>
    </row>
    <row r="73" spans="1:60" x14ac:dyDescent="0.3">
      <c r="H73"/>
      <c r="I73"/>
      <c r="K73"/>
      <c r="L73"/>
      <c r="M73"/>
      <c r="N73"/>
      <c r="O73" s="4"/>
      <c r="P73" s="4"/>
      <c r="Q73" s="4"/>
      <c r="R73" s="4"/>
      <c r="S73" s="4"/>
      <c r="T73" s="4"/>
      <c r="U73" s="4"/>
    </row>
    <row r="74" spans="1:60" x14ac:dyDescent="0.3">
      <c r="A74" t="s">
        <v>162</v>
      </c>
      <c r="B74" s="52" t="s">
        <v>161</v>
      </c>
      <c r="H74"/>
      <c r="I74"/>
      <c r="K74"/>
      <c r="L74"/>
      <c r="M74"/>
      <c r="N74"/>
      <c r="O74" s="4"/>
      <c r="P74" s="4"/>
      <c r="Q74" s="4"/>
      <c r="R74" s="4"/>
      <c r="S74" s="4"/>
      <c r="T74" s="4"/>
      <c r="U74" s="4"/>
    </row>
    <row r="75" spans="1:60" x14ac:dyDescent="0.3">
      <c r="A75" t="s">
        <v>163</v>
      </c>
      <c r="H75"/>
      <c r="I75"/>
      <c r="K75"/>
      <c r="L75"/>
      <c r="M75"/>
      <c r="N75"/>
      <c r="O75" s="4"/>
      <c r="P75" s="4"/>
      <c r="Q75" s="4"/>
      <c r="R75" s="4"/>
      <c r="S75" s="4"/>
      <c r="T75" s="4"/>
      <c r="U75" s="4"/>
    </row>
    <row r="76" spans="1:60" x14ac:dyDescent="0.3">
      <c r="A76" t="s">
        <v>164</v>
      </c>
      <c r="H76"/>
      <c r="I76"/>
      <c r="K76"/>
      <c r="L76"/>
      <c r="M76"/>
      <c r="N76"/>
      <c r="O76" s="4"/>
      <c r="P76" s="4"/>
      <c r="Q76" s="4"/>
      <c r="R76" s="4"/>
      <c r="S76" s="4"/>
      <c r="T76" s="4"/>
      <c r="U76" s="4"/>
    </row>
    <row r="77" spans="1:60" x14ac:dyDescent="0.3">
      <c r="H77"/>
      <c r="I77"/>
      <c r="K77"/>
      <c r="L77"/>
      <c r="M77"/>
      <c r="N77"/>
      <c r="O77" s="4"/>
      <c r="P77" s="4"/>
      <c r="Q77" s="4"/>
      <c r="R77" s="4"/>
      <c r="S77" s="4"/>
      <c r="T77" s="4"/>
      <c r="U77" s="4"/>
    </row>
    <row r="78" spans="1:60" x14ac:dyDescent="0.3">
      <c r="H78"/>
      <c r="I78"/>
      <c r="K78"/>
      <c r="L78"/>
      <c r="M78"/>
      <c r="N78"/>
      <c r="O78" s="4"/>
      <c r="P78" s="4"/>
      <c r="Q78" s="4"/>
      <c r="R78" s="4"/>
      <c r="S78" s="4"/>
      <c r="T78" s="4"/>
      <c r="U78" s="4"/>
    </row>
    <row r="79" spans="1:60" x14ac:dyDescent="0.3">
      <c r="H79"/>
      <c r="I79"/>
      <c r="K79"/>
      <c r="L79"/>
      <c r="M79"/>
      <c r="N79"/>
      <c r="O79" s="4"/>
      <c r="P79" s="4"/>
      <c r="Q79" s="4"/>
      <c r="R79" s="4"/>
      <c r="S79" s="4"/>
      <c r="T79" s="4"/>
      <c r="U79" s="4"/>
    </row>
    <row r="80" spans="1:60" x14ac:dyDescent="0.3">
      <c r="H80"/>
      <c r="I80"/>
      <c r="K80"/>
      <c r="L80"/>
      <c r="M80"/>
      <c r="N80"/>
      <c r="O80" s="4"/>
      <c r="P80" s="4"/>
      <c r="Q80" s="4"/>
      <c r="R80" s="4"/>
      <c r="S80" s="4"/>
      <c r="T80" s="4"/>
      <c r="U80" s="4"/>
    </row>
    <row r="81" spans="8:21" x14ac:dyDescent="0.3">
      <c r="H81"/>
      <c r="I81"/>
      <c r="K81"/>
      <c r="L81"/>
      <c r="M81"/>
      <c r="N81"/>
      <c r="O81" s="4"/>
      <c r="P81" s="4"/>
      <c r="Q81" s="4"/>
      <c r="R81" s="4"/>
      <c r="S81" s="4"/>
      <c r="T81" s="4"/>
      <c r="U81" s="4"/>
    </row>
  </sheetData>
  <sheetProtection algorithmName="SHA-512" hashValue="i94KDHb8ACyKOpHIgVjqrPvNz9h80tuYIKbiQMiR5kKRRdv6zR+3flAA0ZPP5kp2yAEAM/1PVMZDQ6tdWjlqzw==" saltValue="At+9AagQgLRIs5Je/+lMpA==" spinCount="100000" sheet="1" objects="1" scenarios="1" selectLockedCells="1" selectUnlockedCells="1"/>
  <phoneticPr fontId="6" type="noConversion"/>
  <conditionalFormatting sqref="BI4:BI1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J4:BJ1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K4:BK12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4:BM1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A4:A12" xr:uid="{9BE57E22-17CD-4502-A28E-2B985F446CA5}">
      <formula1>$A$71:$A$72</formula1>
    </dataValidation>
  </dataValidations>
  <hyperlinks>
    <hyperlink ref="Q30" r:id="rId1" display="https://csu.gov.cz/ceny-vyrobcu?pocet=10&amp;start=0&amp;podskupiny=011&amp;razeni=-datumVydani" xr:uid="{30D0F5AF-5769-4E07-93AA-7980F1597218}"/>
    <hyperlink ref="Q32" r:id="rId2" display="https://csu.gov.cz/ceny-vyrobcu?pocet=10&amp;start=0&amp;podskupiny=011&amp;razeni=-datumVydani" xr:uid="{E7A6FA1C-1283-46CD-A069-F5891D14DB1F}"/>
    <hyperlink ref="Q31" r:id="rId3" display="https://csu.gov.cz/inflace-spotrebitelske-ceny?pocet=10&amp;start=0&amp;podskupiny=012&amp;razeni=-datumVydani" xr:uid="{4440E56B-46F5-446F-87A3-B1E80F326F0E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63ee97-a858-451b-92d3-c749d4eff215" xsi:nil="true"/>
    <lcf76f155ced4ddcb4097134ff3c332f xmlns="50aef28c-8886-4e97-b227-4f0603f3e7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A52FACA61ECC4089893A442CCE148D" ma:contentTypeVersion="11" ma:contentTypeDescription="Vytvoří nový dokument" ma:contentTypeScope="" ma:versionID="5a9f0e273ca7a63e154907f1ae18f63e">
  <xsd:schema xmlns:xsd="http://www.w3.org/2001/XMLSchema" xmlns:xs="http://www.w3.org/2001/XMLSchema" xmlns:p="http://schemas.microsoft.com/office/2006/metadata/properties" xmlns:ns2="50aef28c-8886-4e97-b227-4f0603f3e72f" xmlns:ns3="2463ee97-a858-451b-92d3-c749d4eff215" targetNamespace="http://schemas.microsoft.com/office/2006/metadata/properties" ma:root="true" ma:fieldsID="6f2960f61921c9ba923e7bfe148c1d6d" ns2:_="" ns3:_="">
    <xsd:import namespace="50aef28c-8886-4e97-b227-4f0603f3e72f"/>
    <xsd:import namespace="2463ee97-a858-451b-92d3-c749d4eff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ef28c-8886-4e97-b227-4f0603f3e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c679c8f0-c104-41ce-adcc-c1eba48f79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3ee97-a858-451b-92d3-c749d4eff21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0e0643f-f90c-4326-abc6-735c2d301ac2}" ma:internalName="TaxCatchAll" ma:showField="CatchAllData" ma:web="2463ee97-a858-451b-92d3-c749d4eff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4EB604-D550-4F50-807D-C3A6FBD3C16E}">
  <ds:schemaRefs>
    <ds:schemaRef ds:uri="http://purl.org/dc/terms/"/>
    <ds:schemaRef ds:uri="50aef28c-8886-4e97-b227-4f0603f3e72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463ee97-a858-451b-92d3-c749d4eff21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8EB821-951B-4A90-B5DF-EBEE66458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ef28c-8886-4e97-b227-4f0603f3e72f"/>
    <ds:schemaRef ds:uri="2463ee97-a858-451b-92d3-c749d4eff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4C8965-23B8-406B-A0C5-2E808377B4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Hodnocení</vt:lpstr>
      <vt:lpstr>Ekonomika</vt:lpstr>
      <vt:lpstr>Hodnocení!_Hlk163725810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Jiří</dc:creator>
  <cp:keywords/>
  <dc:description/>
  <cp:lastModifiedBy>Paul Jiří</cp:lastModifiedBy>
  <cp:revision/>
  <dcterms:created xsi:type="dcterms:W3CDTF">2024-01-21T12:22:04Z</dcterms:created>
  <dcterms:modified xsi:type="dcterms:W3CDTF">2025-07-07T14:43:02Z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0x01010038A52FACA61ECC4089893A442CCE148D</vt:lpwstr>
  </property>
  <property fmtid="{D5CDD505-2E9C-101B-9397-08002B2CF9AE}" pid="3" name="MediaServiceImageTags">
    <vt:lpwstr/>
  </property>
</Properties>
</file>