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10002080\Documents\KRIZE\2_SKLADOVÁNÍ DŘEVA\KATALOG PLOCH\"/>
    </mc:Choice>
  </mc:AlternateContent>
  <xr:revisionPtr revIDLastSave="0" documentId="8_{8E9C5E67-A6C1-4680-B933-FDFC12AB3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ÁŘ" sheetId="2" r:id="rId1"/>
    <sheet name="Katalog" sheetId="1" r:id="rId2"/>
  </sheets>
  <definedNames>
    <definedName name="_xlnm._FilterDatabase" localSheetId="1" hidden="1">Katalog!$A$1:$WWF$339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21" i="2"/>
  <c r="I20" i="2"/>
  <c r="I19" i="2"/>
  <c r="I18" i="2"/>
  <c r="I17" i="2"/>
  <c r="AA306" i="1"/>
  <c r="AB306" i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G30" i="2"/>
  <c r="G29" i="2"/>
  <c r="G28" i="2"/>
  <c r="G27" i="2"/>
  <c r="G26" i="2"/>
  <c r="G25" i="2"/>
  <c r="G24" i="2"/>
  <c r="G23" i="2"/>
  <c r="G22" i="2"/>
  <c r="G20" i="2"/>
  <c r="G21" i="2"/>
  <c r="G19" i="2"/>
  <c r="G18" i="2"/>
  <c r="G17" i="2"/>
  <c r="AA348" i="1"/>
  <c r="AB348" i="1"/>
  <c r="AB331" i="1"/>
  <c r="AA331" i="1"/>
  <c r="AB294" i="1"/>
  <c r="AA294" i="1"/>
  <c r="AB259" i="1"/>
  <c r="AA259" i="1"/>
  <c r="AB224" i="1"/>
  <c r="AA224" i="1"/>
  <c r="AB212" i="1"/>
  <c r="AB174" i="1"/>
  <c r="AA174" i="1"/>
  <c r="AA212" i="1"/>
  <c r="AB129" i="1"/>
  <c r="AA129" i="1"/>
  <c r="AB115" i="1"/>
  <c r="AA115" i="1"/>
  <c r="AB88" i="1"/>
  <c r="AA88" i="1"/>
  <c r="AB82" i="1"/>
  <c r="AA82" i="1"/>
  <c r="AB42" i="1"/>
  <c r="AA42" i="1"/>
  <c r="Z129" i="1"/>
  <c r="B17" i="2"/>
  <c r="X307" i="1"/>
  <c r="Z307" i="1" s="1"/>
  <c r="X308" i="1"/>
  <c r="Z308" i="1" s="1"/>
  <c r="X309" i="1"/>
  <c r="Z309" i="1" s="1"/>
  <c r="X310" i="1"/>
  <c r="Z310" i="1" s="1"/>
  <c r="X311" i="1"/>
  <c r="Z311" i="1"/>
  <c r="C41" i="2" l="1"/>
  <c r="B41" i="2"/>
  <c r="X209" i="1" l="1"/>
  <c r="X109" i="1"/>
  <c r="X110" i="1"/>
  <c r="X111" i="1"/>
  <c r="X112" i="1"/>
  <c r="X113" i="1"/>
  <c r="X114" i="1"/>
  <c r="X115" i="1"/>
  <c r="B13" i="2" l="1"/>
  <c r="Z109" i="1" l="1"/>
  <c r="Z110" i="1"/>
  <c r="Z111" i="1"/>
  <c r="Z112" i="1"/>
  <c r="Z113" i="1"/>
  <c r="Z114" i="1"/>
  <c r="Z115" i="1"/>
  <c r="C29" i="2" l="1"/>
  <c r="C28" i="2"/>
  <c r="C27" i="2"/>
  <c r="C26" i="2"/>
  <c r="C25" i="2"/>
  <c r="C24" i="2"/>
  <c r="C23" i="2"/>
  <c r="C22" i="2"/>
  <c r="C21" i="2"/>
  <c r="C20" i="2"/>
  <c r="C19" i="2"/>
  <c r="C18" i="2"/>
  <c r="C17" i="2"/>
  <c r="B29" i="2"/>
  <c r="B28" i="2"/>
  <c r="B27" i="2"/>
  <c r="B26" i="2"/>
  <c r="B25" i="2"/>
  <c r="B24" i="2"/>
  <c r="B23" i="2"/>
  <c r="B22" i="2"/>
  <c r="B21" i="2"/>
  <c r="B20" i="2"/>
  <c r="B19" i="2"/>
  <c r="B18" i="2"/>
  <c r="X125" i="1"/>
  <c r="Z125" i="1" s="1"/>
  <c r="X126" i="1"/>
  <c r="Z126" i="1" s="1"/>
  <c r="X127" i="1"/>
  <c r="Z127" i="1" s="1"/>
  <c r="X128" i="1"/>
  <c r="Z128" i="1" s="1"/>
  <c r="X129" i="1"/>
  <c r="X327" i="1" l="1"/>
  <c r="Z327" i="1" s="1"/>
  <c r="X326" i="1"/>
  <c r="Z326" i="1" s="1"/>
  <c r="X325" i="1"/>
  <c r="Z325" i="1" s="1"/>
  <c r="X324" i="1"/>
  <c r="Z324" i="1" s="1"/>
  <c r="X301" i="1"/>
  <c r="Z301" i="1" s="1"/>
  <c r="X253" i="1"/>
  <c r="Z253" i="1" s="1"/>
  <c r="X252" i="1"/>
  <c r="Z252" i="1" s="1"/>
  <c r="X217" i="1"/>
  <c r="Z217" i="1" s="1"/>
  <c r="X96" i="1"/>
  <c r="Z96" i="1" s="1"/>
  <c r="X80" i="1"/>
  <c r="Z80" i="1" s="1"/>
  <c r="X79" i="1"/>
  <c r="Z79" i="1" s="1"/>
  <c r="X41" i="1"/>
  <c r="Z41" i="1" s="1"/>
  <c r="X347" i="1" l="1"/>
  <c r="Z347" i="1" s="1"/>
  <c r="X346" i="1"/>
  <c r="Z346" i="1" s="1"/>
  <c r="X345" i="1"/>
  <c r="Z345" i="1" s="1"/>
  <c r="X344" i="1"/>
  <c r="Z344" i="1" s="1"/>
  <c r="X343" i="1"/>
  <c r="Z343" i="1" s="1"/>
  <c r="X342" i="1"/>
  <c r="Z342" i="1" s="1"/>
  <c r="X341" i="1"/>
  <c r="Z341" i="1" s="1"/>
  <c r="X340" i="1"/>
  <c r="Z340" i="1" s="1"/>
  <c r="X339" i="1"/>
  <c r="Z339" i="1" s="1"/>
  <c r="X338" i="1"/>
  <c r="Z338" i="1" s="1"/>
  <c r="X337" i="1"/>
  <c r="Z337" i="1" s="1"/>
  <c r="X336" i="1"/>
  <c r="Z336" i="1" s="1"/>
  <c r="X335" i="1"/>
  <c r="Z335" i="1" s="1"/>
  <c r="X334" i="1"/>
  <c r="Z334" i="1" s="1"/>
  <c r="X333" i="1"/>
  <c r="Z333" i="1" s="1"/>
  <c r="X332" i="1"/>
  <c r="Z332" i="1" s="1"/>
  <c r="X331" i="1"/>
  <c r="Z331" i="1" s="1"/>
  <c r="X330" i="1"/>
  <c r="Z330" i="1" s="1"/>
  <c r="X329" i="1"/>
  <c r="Z329" i="1" s="1"/>
  <c r="X328" i="1"/>
  <c r="Z328" i="1" s="1"/>
  <c r="X323" i="1"/>
  <c r="Z323" i="1" s="1"/>
  <c r="X322" i="1"/>
  <c r="Z322" i="1" s="1"/>
  <c r="X321" i="1"/>
  <c r="Z321" i="1" s="1"/>
  <c r="X320" i="1"/>
  <c r="Z320" i="1" s="1"/>
  <c r="X319" i="1"/>
  <c r="Z319" i="1" s="1"/>
  <c r="X318" i="1"/>
  <c r="Z318" i="1" s="1"/>
  <c r="X317" i="1"/>
  <c r="Z317" i="1" s="1"/>
  <c r="X316" i="1"/>
  <c r="Z316" i="1" s="1"/>
  <c r="X315" i="1"/>
  <c r="Z315" i="1" s="1"/>
  <c r="X314" i="1"/>
  <c r="Z314" i="1" s="1"/>
  <c r="X313" i="1"/>
  <c r="Z313" i="1" s="1"/>
  <c r="X312" i="1"/>
  <c r="Z312" i="1" s="1"/>
  <c r="X306" i="1"/>
  <c r="Z306" i="1" s="1"/>
  <c r="X305" i="1"/>
  <c r="Z305" i="1" s="1"/>
  <c r="X304" i="1"/>
  <c r="Z304" i="1" s="1"/>
  <c r="X303" i="1"/>
  <c r="Z303" i="1" s="1"/>
  <c r="X302" i="1"/>
  <c r="Z302" i="1" s="1"/>
  <c r="X300" i="1"/>
  <c r="Z300" i="1" s="1"/>
  <c r="X299" i="1"/>
  <c r="Z299" i="1" s="1"/>
  <c r="X298" i="1"/>
  <c r="Z298" i="1" s="1"/>
  <c r="X297" i="1"/>
  <c r="Z297" i="1" s="1"/>
  <c r="X296" i="1"/>
  <c r="Z296" i="1" s="1"/>
  <c r="X295" i="1"/>
  <c r="Z295" i="1" s="1"/>
  <c r="X294" i="1"/>
  <c r="Z294" i="1" s="1"/>
  <c r="X293" i="1"/>
  <c r="Z293" i="1" s="1"/>
  <c r="X292" i="1"/>
  <c r="Z292" i="1" s="1"/>
  <c r="X291" i="1"/>
  <c r="Z291" i="1" s="1"/>
  <c r="X290" i="1"/>
  <c r="Z290" i="1" s="1"/>
  <c r="X289" i="1"/>
  <c r="Z289" i="1" s="1"/>
  <c r="X288" i="1"/>
  <c r="Z288" i="1" s="1"/>
  <c r="X287" i="1"/>
  <c r="Z287" i="1" s="1"/>
  <c r="X286" i="1"/>
  <c r="Z286" i="1" s="1"/>
  <c r="X285" i="1"/>
  <c r="Z285" i="1" s="1"/>
  <c r="X284" i="1"/>
  <c r="Z284" i="1" s="1"/>
  <c r="X283" i="1"/>
  <c r="Z283" i="1" s="1"/>
  <c r="X282" i="1"/>
  <c r="Z282" i="1" s="1"/>
  <c r="X281" i="1"/>
  <c r="Z281" i="1" s="1"/>
  <c r="X280" i="1"/>
  <c r="Z280" i="1" s="1"/>
  <c r="X279" i="1"/>
  <c r="Z279" i="1" s="1"/>
  <c r="X278" i="1"/>
  <c r="Z278" i="1" s="1"/>
  <c r="X277" i="1"/>
  <c r="Z277" i="1" s="1"/>
  <c r="X276" i="1"/>
  <c r="Z276" i="1" s="1"/>
  <c r="X275" i="1"/>
  <c r="Z275" i="1" s="1"/>
  <c r="X274" i="1"/>
  <c r="Z274" i="1" s="1"/>
  <c r="X273" i="1"/>
  <c r="Z273" i="1" s="1"/>
  <c r="X272" i="1"/>
  <c r="Z272" i="1" s="1"/>
  <c r="X271" i="1"/>
  <c r="Z271" i="1" s="1"/>
  <c r="X270" i="1"/>
  <c r="Z270" i="1" s="1"/>
  <c r="X269" i="1"/>
  <c r="Z269" i="1" s="1"/>
  <c r="X268" i="1"/>
  <c r="Z268" i="1" s="1"/>
  <c r="X267" i="1"/>
  <c r="Z267" i="1" s="1"/>
  <c r="X266" i="1"/>
  <c r="Z266" i="1" s="1"/>
  <c r="X265" i="1"/>
  <c r="Z265" i="1" s="1"/>
  <c r="X264" i="1"/>
  <c r="Z264" i="1" s="1"/>
  <c r="X263" i="1"/>
  <c r="Z263" i="1" s="1"/>
  <c r="X262" i="1"/>
  <c r="Z262" i="1" s="1"/>
  <c r="X261" i="1"/>
  <c r="Z261" i="1" s="1"/>
  <c r="X259" i="1"/>
  <c r="Z259" i="1" s="1"/>
  <c r="X258" i="1"/>
  <c r="Z258" i="1" s="1"/>
  <c r="X257" i="1"/>
  <c r="Z257" i="1" s="1"/>
  <c r="X256" i="1"/>
  <c r="Z256" i="1" s="1"/>
  <c r="X255" i="1"/>
  <c r="Z255" i="1" s="1"/>
  <c r="X254" i="1"/>
  <c r="Z254" i="1" s="1"/>
  <c r="X251" i="1"/>
  <c r="Z251" i="1" s="1"/>
  <c r="X250" i="1"/>
  <c r="Z250" i="1" s="1"/>
  <c r="X249" i="1"/>
  <c r="Z249" i="1" s="1"/>
  <c r="X248" i="1"/>
  <c r="Z248" i="1" s="1"/>
  <c r="X247" i="1"/>
  <c r="Z247" i="1" s="1"/>
  <c r="X246" i="1"/>
  <c r="Z246" i="1" s="1"/>
  <c r="X245" i="1"/>
  <c r="Z245" i="1" s="1"/>
  <c r="X244" i="1"/>
  <c r="Z244" i="1" s="1"/>
  <c r="X243" i="1"/>
  <c r="Z243" i="1" s="1"/>
  <c r="X242" i="1"/>
  <c r="Z242" i="1" s="1"/>
  <c r="X241" i="1"/>
  <c r="Z241" i="1" s="1"/>
  <c r="X240" i="1"/>
  <c r="Z240" i="1" s="1"/>
  <c r="X239" i="1"/>
  <c r="Z239" i="1" s="1"/>
  <c r="X238" i="1"/>
  <c r="Z238" i="1" s="1"/>
  <c r="X237" i="1"/>
  <c r="Z237" i="1" s="1"/>
  <c r="X236" i="1"/>
  <c r="Z236" i="1" s="1"/>
  <c r="X235" i="1"/>
  <c r="Z235" i="1" s="1"/>
  <c r="X234" i="1"/>
  <c r="Z234" i="1" s="1"/>
  <c r="X233" i="1"/>
  <c r="Z233" i="1" s="1"/>
  <c r="X232" i="1"/>
  <c r="Z232" i="1" s="1"/>
  <c r="X231" i="1"/>
  <c r="Z231" i="1" s="1"/>
  <c r="X230" i="1"/>
  <c r="Z230" i="1" s="1"/>
  <c r="X229" i="1"/>
  <c r="Z229" i="1" s="1"/>
  <c r="X228" i="1"/>
  <c r="Z228" i="1" s="1"/>
  <c r="X227" i="1"/>
  <c r="Z227" i="1" s="1"/>
  <c r="X226" i="1"/>
  <c r="Z226" i="1" s="1"/>
  <c r="X225" i="1"/>
  <c r="X224" i="1"/>
  <c r="Z224" i="1" s="1"/>
  <c r="X223" i="1"/>
  <c r="Z223" i="1" s="1"/>
  <c r="X222" i="1"/>
  <c r="Z222" i="1" s="1"/>
  <c r="X221" i="1"/>
  <c r="Z221" i="1" s="1"/>
  <c r="X220" i="1"/>
  <c r="Z220" i="1" s="1"/>
  <c r="X219" i="1"/>
  <c r="Z219" i="1" s="1"/>
  <c r="X218" i="1"/>
  <c r="Z218" i="1" s="1"/>
  <c r="X216" i="1"/>
  <c r="Z216" i="1" s="1"/>
  <c r="X215" i="1"/>
  <c r="Z215" i="1" s="1"/>
  <c r="X214" i="1"/>
  <c r="Z214" i="1" s="1"/>
  <c r="X213" i="1"/>
  <c r="Z213" i="1" s="1"/>
  <c r="X211" i="1"/>
  <c r="Z211" i="1" s="1"/>
  <c r="X210" i="1"/>
  <c r="Z210" i="1" s="1"/>
  <c r="X208" i="1"/>
  <c r="Z208" i="1" s="1"/>
  <c r="X207" i="1"/>
  <c r="Z207" i="1" s="1"/>
  <c r="X206" i="1"/>
  <c r="Z206" i="1" s="1"/>
  <c r="X205" i="1"/>
  <c r="Z205" i="1" s="1"/>
  <c r="X212" i="1"/>
  <c r="Z212" i="1" s="1"/>
  <c r="X204" i="1"/>
  <c r="Z204" i="1" s="1"/>
  <c r="X203" i="1"/>
  <c r="Z203" i="1" s="1"/>
  <c r="X202" i="1"/>
  <c r="Z202" i="1" s="1"/>
  <c r="X201" i="1"/>
  <c r="Z201" i="1" s="1"/>
  <c r="X200" i="1"/>
  <c r="Z200" i="1" s="1"/>
  <c r="X199" i="1"/>
  <c r="Z199" i="1" s="1"/>
  <c r="X198" i="1"/>
  <c r="Z198" i="1" s="1"/>
  <c r="X197" i="1"/>
  <c r="Z197" i="1" s="1"/>
  <c r="X196" i="1"/>
  <c r="Z196" i="1" s="1"/>
  <c r="X195" i="1"/>
  <c r="Z195" i="1" s="1"/>
  <c r="X194" i="1"/>
  <c r="Z194" i="1" s="1"/>
  <c r="X193" i="1"/>
  <c r="Z193" i="1" s="1"/>
  <c r="X192" i="1"/>
  <c r="Z192" i="1" s="1"/>
  <c r="X191" i="1"/>
  <c r="Z191" i="1" s="1"/>
  <c r="X190" i="1"/>
  <c r="Z190" i="1" s="1"/>
  <c r="X189" i="1"/>
  <c r="Z189" i="1" s="1"/>
  <c r="X188" i="1"/>
  <c r="Z188" i="1" s="1"/>
  <c r="X187" i="1"/>
  <c r="Z187" i="1" s="1"/>
  <c r="X186" i="1"/>
  <c r="Z186" i="1" s="1"/>
  <c r="X185" i="1"/>
  <c r="Z185" i="1" s="1"/>
  <c r="X184" i="1"/>
  <c r="Z184" i="1" s="1"/>
  <c r="X183" i="1"/>
  <c r="Z183" i="1" s="1"/>
  <c r="X182" i="1"/>
  <c r="Z182" i="1" s="1"/>
  <c r="X181" i="1"/>
  <c r="Z181" i="1" s="1"/>
  <c r="X180" i="1"/>
  <c r="Z180" i="1" s="1"/>
  <c r="X179" i="1"/>
  <c r="Z179" i="1" s="1"/>
  <c r="X178" i="1"/>
  <c r="Z178" i="1" s="1"/>
  <c r="X177" i="1"/>
  <c r="Z177" i="1" s="1"/>
  <c r="X176" i="1"/>
  <c r="Z176" i="1" s="1"/>
  <c r="Z348" i="1"/>
  <c r="X175" i="1"/>
  <c r="Z175" i="1" s="1"/>
  <c r="X174" i="1"/>
  <c r="Z174" i="1" s="1"/>
  <c r="X173" i="1"/>
  <c r="Z173" i="1" s="1"/>
  <c r="X172" i="1"/>
  <c r="Z172" i="1" s="1"/>
  <c r="X171" i="1"/>
  <c r="Z171" i="1" s="1"/>
  <c r="X170" i="1"/>
  <c r="Z170" i="1" s="1"/>
  <c r="X169" i="1"/>
  <c r="Z169" i="1" s="1"/>
  <c r="X168" i="1"/>
  <c r="Z168" i="1" s="1"/>
  <c r="X167" i="1"/>
  <c r="Z167" i="1" s="1"/>
  <c r="X166" i="1"/>
  <c r="Z166" i="1" s="1"/>
  <c r="X165" i="1"/>
  <c r="Z165" i="1" s="1"/>
  <c r="X164" i="1"/>
  <c r="Z164" i="1" s="1"/>
  <c r="X163" i="1"/>
  <c r="Z163" i="1" s="1"/>
  <c r="X162" i="1"/>
  <c r="Z162" i="1" s="1"/>
  <c r="X161" i="1"/>
  <c r="Z161" i="1" s="1"/>
  <c r="X160" i="1"/>
  <c r="Z160" i="1" s="1"/>
  <c r="X159" i="1"/>
  <c r="Z159" i="1" s="1"/>
  <c r="X158" i="1"/>
  <c r="Z158" i="1" s="1"/>
  <c r="X157" i="1"/>
  <c r="Z157" i="1" s="1"/>
  <c r="X156" i="1"/>
  <c r="Z156" i="1" s="1"/>
  <c r="X155" i="1"/>
  <c r="Z155" i="1" s="1"/>
  <c r="X154" i="1"/>
  <c r="Z154" i="1" s="1"/>
  <c r="X153" i="1"/>
  <c r="Z153" i="1" s="1"/>
  <c r="X152" i="1"/>
  <c r="Z152" i="1" s="1"/>
  <c r="X151" i="1"/>
  <c r="Z151" i="1" s="1"/>
  <c r="X150" i="1"/>
  <c r="Z150" i="1" s="1"/>
  <c r="X149" i="1"/>
  <c r="Z149" i="1" s="1"/>
  <c r="X148" i="1"/>
  <c r="Z148" i="1" s="1"/>
  <c r="X147" i="1"/>
  <c r="Z147" i="1" s="1"/>
  <c r="X146" i="1"/>
  <c r="Z146" i="1" s="1"/>
  <c r="X145" i="1"/>
  <c r="Z145" i="1" s="1"/>
  <c r="X144" i="1"/>
  <c r="Z144" i="1" s="1"/>
  <c r="X143" i="1"/>
  <c r="Z143" i="1" s="1"/>
  <c r="X142" i="1"/>
  <c r="Z142" i="1" s="1"/>
  <c r="X141" i="1"/>
  <c r="Z141" i="1" s="1"/>
  <c r="X140" i="1"/>
  <c r="Z140" i="1" s="1"/>
  <c r="X139" i="1"/>
  <c r="Z139" i="1" s="1"/>
  <c r="X138" i="1"/>
  <c r="Z138" i="1" s="1"/>
  <c r="X137" i="1"/>
  <c r="Z137" i="1" s="1"/>
  <c r="X136" i="1"/>
  <c r="Z136" i="1" s="1"/>
  <c r="X135" i="1"/>
  <c r="Z135" i="1" s="1"/>
  <c r="X134" i="1"/>
  <c r="Z134" i="1" s="1"/>
  <c r="X133" i="1"/>
  <c r="Z133" i="1" s="1"/>
  <c r="X132" i="1"/>
  <c r="Z132" i="1" s="1"/>
  <c r="X131" i="1"/>
  <c r="Z131" i="1" s="1"/>
  <c r="X130" i="1"/>
  <c r="Z130" i="1" s="1"/>
  <c r="X124" i="1"/>
  <c r="Z124" i="1" s="1"/>
  <c r="X123" i="1"/>
  <c r="Z123" i="1" s="1"/>
  <c r="X122" i="1"/>
  <c r="Z122" i="1" s="1"/>
  <c r="X121" i="1"/>
  <c r="Z121" i="1" s="1"/>
  <c r="X120" i="1"/>
  <c r="Z120" i="1" s="1"/>
  <c r="X119" i="1"/>
  <c r="Z119" i="1" s="1"/>
  <c r="X118" i="1"/>
  <c r="Z118" i="1" s="1"/>
  <c r="X117" i="1"/>
  <c r="Z117" i="1" s="1"/>
  <c r="X116" i="1"/>
  <c r="Z116" i="1" s="1"/>
  <c r="X108" i="1"/>
  <c r="Z108" i="1" s="1"/>
  <c r="X107" i="1"/>
  <c r="Z107" i="1" s="1"/>
  <c r="X106" i="1"/>
  <c r="Z106" i="1" s="1"/>
  <c r="X105" i="1"/>
  <c r="Z105" i="1" s="1"/>
  <c r="X104" i="1"/>
  <c r="Z104" i="1" s="1"/>
  <c r="X103" i="1"/>
  <c r="Z103" i="1" s="1"/>
  <c r="X102" i="1"/>
  <c r="Z102" i="1" s="1"/>
  <c r="X101" i="1"/>
  <c r="Z101" i="1" s="1"/>
  <c r="X100" i="1"/>
  <c r="Z100" i="1" s="1"/>
  <c r="X99" i="1"/>
  <c r="Z99" i="1" s="1"/>
  <c r="X98" i="1"/>
  <c r="Z98" i="1" s="1"/>
  <c r="X97" i="1"/>
  <c r="Z97" i="1" s="1"/>
  <c r="X95" i="1"/>
  <c r="Z95" i="1" s="1"/>
  <c r="X94" i="1"/>
  <c r="Z94" i="1" s="1"/>
  <c r="X93" i="1"/>
  <c r="Z93" i="1" s="1"/>
  <c r="X92" i="1"/>
  <c r="Z92" i="1" s="1"/>
  <c r="X91" i="1"/>
  <c r="Z91" i="1" s="1"/>
  <c r="X90" i="1"/>
  <c r="Z90" i="1" s="1"/>
  <c r="X89" i="1"/>
  <c r="Z89" i="1" s="1"/>
  <c r="X88" i="1"/>
  <c r="Z88" i="1" s="1"/>
  <c r="X87" i="1"/>
  <c r="Z87" i="1" s="1"/>
  <c r="X86" i="1"/>
  <c r="Z86" i="1" s="1"/>
  <c r="X85" i="1"/>
  <c r="Z85" i="1" s="1"/>
  <c r="X84" i="1"/>
  <c r="Z84" i="1" s="1"/>
  <c r="X83" i="1"/>
  <c r="Z83" i="1" s="1"/>
  <c r="X82" i="1"/>
  <c r="Z82" i="1" s="1"/>
  <c r="X81" i="1"/>
  <c r="Z81" i="1" s="1"/>
  <c r="X78" i="1"/>
  <c r="Z78" i="1" s="1"/>
  <c r="X77" i="1"/>
  <c r="Z77" i="1" s="1"/>
  <c r="X76" i="1"/>
  <c r="Z76" i="1" s="1"/>
  <c r="X75" i="1"/>
  <c r="Z75" i="1" s="1"/>
  <c r="X74" i="1"/>
  <c r="Z74" i="1" s="1"/>
  <c r="X73" i="1"/>
  <c r="Z73" i="1" s="1"/>
  <c r="X72" i="1"/>
  <c r="Z72" i="1" s="1"/>
  <c r="X71" i="1"/>
  <c r="Z71" i="1" s="1"/>
  <c r="X70" i="1"/>
  <c r="Z70" i="1" s="1"/>
  <c r="X69" i="1"/>
  <c r="Z69" i="1" s="1"/>
  <c r="X68" i="1"/>
  <c r="Z68" i="1" s="1"/>
  <c r="X67" i="1"/>
  <c r="Z67" i="1" s="1"/>
  <c r="X66" i="1"/>
  <c r="Z66" i="1" s="1"/>
  <c r="X65" i="1"/>
  <c r="Z65" i="1" s="1"/>
  <c r="X64" i="1"/>
  <c r="Z64" i="1" s="1"/>
  <c r="X63" i="1"/>
  <c r="Z63" i="1" s="1"/>
  <c r="X62" i="1"/>
  <c r="Z62" i="1" s="1"/>
  <c r="X61" i="1"/>
  <c r="Z61" i="1" s="1"/>
  <c r="X60" i="1"/>
  <c r="Z60" i="1" s="1"/>
  <c r="X59" i="1"/>
  <c r="Z59" i="1" s="1"/>
  <c r="X58" i="1"/>
  <c r="Z58" i="1" s="1"/>
  <c r="X57" i="1"/>
  <c r="Z57" i="1" s="1"/>
  <c r="X56" i="1"/>
  <c r="Z56" i="1" s="1"/>
  <c r="X55" i="1"/>
  <c r="Z55" i="1" s="1"/>
  <c r="X54" i="1"/>
  <c r="Z54" i="1" s="1"/>
  <c r="X53" i="1"/>
  <c r="Z53" i="1" s="1"/>
  <c r="X52" i="1"/>
  <c r="Z52" i="1" s="1"/>
  <c r="X51" i="1"/>
  <c r="Z51" i="1" s="1"/>
  <c r="X50" i="1"/>
  <c r="Z50" i="1" s="1"/>
  <c r="X49" i="1"/>
  <c r="Z49" i="1" s="1"/>
  <c r="X48" i="1"/>
  <c r="Z48" i="1" s="1"/>
  <c r="X47" i="1"/>
  <c r="Z47" i="1" s="1"/>
  <c r="X46" i="1"/>
  <c r="Z46" i="1" s="1"/>
  <c r="X45" i="1"/>
  <c r="Z45" i="1" s="1"/>
  <c r="X44" i="1"/>
  <c r="Z44" i="1" s="1"/>
  <c r="X43" i="1"/>
  <c r="Z43" i="1" s="1"/>
  <c r="X42" i="1"/>
  <c r="Z42" i="1" s="1"/>
  <c r="X40" i="1"/>
  <c r="Z40" i="1" s="1"/>
  <c r="X39" i="1"/>
  <c r="Z39" i="1" s="1"/>
  <c r="X38" i="1"/>
  <c r="Z38" i="1" s="1"/>
  <c r="X37" i="1"/>
  <c r="Z37" i="1" s="1"/>
  <c r="X36" i="1"/>
  <c r="Z36" i="1" s="1"/>
  <c r="X35" i="1"/>
  <c r="Z35" i="1" s="1"/>
  <c r="X34" i="1"/>
  <c r="Z34" i="1" s="1"/>
  <c r="X33" i="1"/>
  <c r="Z33" i="1" s="1"/>
  <c r="X32" i="1"/>
  <c r="Z32" i="1" s="1"/>
  <c r="X31" i="1"/>
  <c r="Z31" i="1" s="1"/>
  <c r="X30" i="1"/>
  <c r="Z30" i="1" s="1"/>
  <c r="X29" i="1"/>
  <c r="Z29" i="1" s="1"/>
  <c r="X28" i="1"/>
  <c r="Z28" i="1" s="1"/>
  <c r="X27" i="1"/>
  <c r="Z27" i="1" s="1"/>
  <c r="X26" i="1"/>
  <c r="Z26" i="1" s="1"/>
  <c r="X25" i="1"/>
  <c r="Z25" i="1" s="1"/>
  <c r="X24" i="1"/>
  <c r="Z24" i="1" s="1"/>
  <c r="X23" i="1"/>
  <c r="Z23" i="1" s="1"/>
  <c r="X22" i="1"/>
  <c r="Z22" i="1" s="1"/>
  <c r="X21" i="1"/>
  <c r="Z21" i="1" s="1"/>
  <c r="X20" i="1"/>
  <c r="Z20" i="1" s="1"/>
  <c r="X19" i="1"/>
  <c r="Z19" i="1" s="1"/>
  <c r="X18" i="1"/>
  <c r="Z18" i="1" s="1"/>
  <c r="X17" i="1"/>
  <c r="Z17" i="1" s="1"/>
  <c r="X16" i="1"/>
  <c r="Z16" i="1" s="1"/>
  <c r="X15" i="1"/>
  <c r="Z15" i="1" s="1"/>
  <c r="X14" i="1"/>
  <c r="Z14" i="1" s="1"/>
  <c r="X13" i="1"/>
  <c r="Z13" i="1" s="1"/>
  <c r="X12" i="1"/>
  <c r="Z12" i="1" s="1"/>
  <c r="X11" i="1"/>
  <c r="Z11" i="1" s="1"/>
  <c r="X10" i="1"/>
  <c r="Z10" i="1" s="1"/>
  <c r="X9" i="1"/>
  <c r="Z9" i="1" s="1"/>
  <c r="X8" i="1"/>
  <c r="Z8" i="1" s="1"/>
  <c r="X7" i="1"/>
  <c r="Z7" i="1" s="1"/>
  <c r="X6" i="1"/>
  <c r="Z6" i="1" s="1"/>
  <c r="X5" i="1"/>
  <c r="Z5" i="1" s="1"/>
  <c r="X4" i="1"/>
  <c r="Z4" i="1" s="1"/>
  <c r="X3" i="1"/>
  <c r="Z3" i="1" s="1"/>
  <c r="X260" i="1"/>
  <c r="Z260" i="1" s="1"/>
  <c r="X2" i="1"/>
  <c r="Z2" i="1" s="1"/>
  <c r="Z225" i="1" l="1"/>
  <c r="C37" i="2"/>
  <c r="D37" i="2" s="1"/>
  <c r="D41" i="2"/>
  <c r="C40" i="2"/>
  <c r="D40" i="2" s="1"/>
  <c r="C39" i="2"/>
  <c r="D39" i="2" s="1"/>
  <c r="C38" i="2"/>
  <c r="D38" i="2" s="1"/>
  <c r="C36" i="2"/>
  <c r="D36" i="2" s="1"/>
  <c r="C35" i="2"/>
  <c r="D35" i="2" s="1"/>
  <c r="C34" i="2"/>
  <c r="D34" i="2" s="1"/>
  <c r="D24" i="2"/>
  <c r="B34" i="2"/>
  <c r="B40" i="2"/>
  <c r="B39" i="2"/>
  <c r="B38" i="2"/>
  <c r="B37" i="2"/>
  <c r="B36" i="2"/>
  <c r="B35" i="2"/>
  <c r="D28" i="2" l="1"/>
  <c r="D27" i="2"/>
  <c r="D23" i="2"/>
  <c r="D20" i="2"/>
  <c r="D29" i="2"/>
  <c r="D19" i="2"/>
  <c r="D17" i="2"/>
  <c r="D21" i="2"/>
  <c r="D25" i="2"/>
  <c r="D18" i="2"/>
  <c r="D22" i="2"/>
  <c r="D26" i="2"/>
  <c r="B30" i="2"/>
  <c r="B42" i="2" s="1"/>
  <c r="B43" i="2" s="1"/>
  <c r="C30" i="2"/>
  <c r="C42" i="2" s="1"/>
  <c r="C43" i="2" s="1"/>
  <c r="D30" i="2" l="1"/>
  <c r="D42" i="2"/>
  <c r="D43" i="2" s="1"/>
  <c r="B14" i="2"/>
  <c r="E34" i="2" l="1"/>
  <c r="E41" i="2"/>
  <c r="E39" i="2"/>
  <c r="E40" i="2"/>
  <c r="E38" i="2"/>
  <c r="E37" i="2"/>
  <c r="E36" i="2"/>
  <c r="E35" i="2"/>
  <c r="E42" i="2"/>
  <c r="E43" i="2" l="1"/>
</calcChain>
</file>

<file path=xl/sharedStrings.xml><?xml version="1.0" encoding="utf-8"?>
<sst xmlns="http://schemas.openxmlformats.org/spreadsheetml/2006/main" count="5213" uniqueCount="1316">
  <si>
    <t>ID položky</t>
  </si>
  <si>
    <t>vlastník</t>
  </si>
  <si>
    <t>kraj</t>
  </si>
  <si>
    <t>číslo KŘ</t>
  </si>
  <si>
    <t>KŘ</t>
  </si>
  <si>
    <t>číslo LS</t>
  </si>
  <si>
    <t>LS</t>
  </si>
  <si>
    <t>k.ú.</t>
  </si>
  <si>
    <t>parcelní číslo</t>
  </si>
  <si>
    <t>Dopravní přístupnost (silnice/železnice/obojí)</t>
  </si>
  <si>
    <t>Stav plochy (zpevněná/nezpevněná)</t>
  </si>
  <si>
    <t>napojení na elektřinu (ano/ne)</t>
  </si>
  <si>
    <t>napojení na zdroj vody (ano/ne)</t>
  </si>
  <si>
    <t>oplocení (ano/ne)</t>
  </si>
  <si>
    <t>Využitelnost (ihned/od kdy, popř. do kdy)</t>
  </si>
  <si>
    <t>Správce majetku</t>
  </si>
  <si>
    <t>Kontakt   (e-mail, telefon)</t>
  </si>
  <si>
    <t>Doplňující informace   (název železniční stanice apod.)</t>
  </si>
  <si>
    <t>České dráhy, a.s.</t>
  </si>
  <si>
    <t>Jihočeský</t>
  </si>
  <si>
    <t>Jihlava</t>
  </si>
  <si>
    <t>PELHŘIMOV</t>
  </si>
  <si>
    <t>Popelín</t>
  </si>
  <si>
    <t>1641/1</t>
  </si>
  <si>
    <t>obojí</t>
  </si>
  <si>
    <t>zpevněná</t>
  </si>
  <si>
    <t>ne</t>
  </si>
  <si>
    <t>výp.lh. 3 měs.</t>
  </si>
  <si>
    <t>RSM Praha</t>
  </si>
  <si>
    <t>krauskopf@rsm.cd.cz</t>
  </si>
  <si>
    <t>žst. Popelín</t>
  </si>
  <si>
    <t>Brandýs nad Labem</t>
  </si>
  <si>
    <t>KONOPIŠTĚ</t>
  </si>
  <si>
    <t>Březnice</t>
  </si>
  <si>
    <t>2360/16</t>
  </si>
  <si>
    <t>ihned</t>
  </si>
  <si>
    <t>žst. Březnice</t>
  </si>
  <si>
    <t>České Budějovice</t>
  </si>
  <si>
    <t>BOUBÍN</t>
  </si>
  <si>
    <t>Horní Planá</t>
  </si>
  <si>
    <t>1737/1</t>
  </si>
  <si>
    <t>žst. Horní Planá</t>
  </si>
  <si>
    <t>JINDŘICHŮV HRADEC</t>
  </si>
  <si>
    <t>Jarošov nad Nežárkou</t>
  </si>
  <si>
    <t>1348/1</t>
  </si>
  <si>
    <t>žst. Jarošov nad Nežárkou</t>
  </si>
  <si>
    <t>Jihomoravský</t>
  </si>
  <si>
    <t>Jindřichův Hradec</t>
  </si>
  <si>
    <t>4335/1</t>
  </si>
  <si>
    <t>žst. Jindřichův Hradec</t>
  </si>
  <si>
    <t>Karlovarský</t>
  </si>
  <si>
    <t>Kardašova Řečice</t>
  </si>
  <si>
    <t>4283/2</t>
  </si>
  <si>
    <t>žst. Kardašova Řečice</t>
  </si>
  <si>
    <t>Lomnice nad Lužnicí</t>
  </si>
  <si>
    <t>951/1</t>
  </si>
  <si>
    <t>žst. Lomnice nad Lužnicí</t>
  </si>
  <si>
    <t>Liberecký</t>
  </si>
  <si>
    <t>Veselí nad Lužnicí</t>
  </si>
  <si>
    <t>4327/23</t>
  </si>
  <si>
    <t>žst. Veselí nad Lužnicí</t>
  </si>
  <si>
    <t>Moravskoslezský</t>
  </si>
  <si>
    <t>TŘEBOŇ</t>
  </si>
  <si>
    <t>Borovany</t>
  </si>
  <si>
    <t>3968/17</t>
  </si>
  <si>
    <t>žst. Borovany</t>
  </si>
  <si>
    <t>Olomoucký</t>
  </si>
  <si>
    <t>Třeboň</t>
  </si>
  <si>
    <t>2538/1</t>
  </si>
  <si>
    <t>žst. Třeboň</t>
  </si>
  <si>
    <t>Pardubický</t>
  </si>
  <si>
    <t>TÁBOR</t>
  </si>
  <si>
    <t>Bechyně</t>
  </si>
  <si>
    <t>2109/5</t>
  </si>
  <si>
    <t>žst. Bechyně</t>
  </si>
  <si>
    <t>Plzeňský</t>
  </si>
  <si>
    <t>Božejovice</t>
  </si>
  <si>
    <t>2206/3</t>
  </si>
  <si>
    <t>žst. Božejovice</t>
  </si>
  <si>
    <t>Středočeský</t>
  </si>
  <si>
    <t>Branice</t>
  </si>
  <si>
    <t>739/6</t>
  </si>
  <si>
    <t>částečně zpevněná</t>
  </si>
  <si>
    <t>30 a 100</t>
  </si>
  <si>
    <t xml:space="preserve">výp.lh. 3 měs. </t>
  </si>
  <si>
    <t>žst. Branice</t>
  </si>
  <si>
    <t>Ústecký</t>
  </si>
  <si>
    <t>Červené Záhoří</t>
  </si>
  <si>
    <t>141/1</t>
  </si>
  <si>
    <t>silnice</t>
  </si>
  <si>
    <t>žst. Chotoviny</t>
  </si>
  <si>
    <t>Vysočina</t>
  </si>
  <si>
    <t>Roudná nad Lužnicí</t>
  </si>
  <si>
    <t>200/9</t>
  </si>
  <si>
    <t>žst. Roudná</t>
  </si>
  <si>
    <t>Zlínský</t>
  </si>
  <si>
    <t>VODŇANY</t>
  </si>
  <si>
    <t>Čimelice</t>
  </si>
  <si>
    <t>77/8</t>
  </si>
  <si>
    <t>žst. Čimelice</t>
  </si>
  <si>
    <t>Borečnice</t>
  </si>
  <si>
    <t>55/1</t>
  </si>
  <si>
    <t>žst. Čížová</t>
  </si>
  <si>
    <t>Katovice</t>
  </si>
  <si>
    <t>1508/13</t>
  </si>
  <si>
    <t>žst. Katovice</t>
  </si>
  <si>
    <t>Mirovice</t>
  </si>
  <si>
    <t>248/12</t>
  </si>
  <si>
    <t>žst. Mirovice</t>
  </si>
  <si>
    <t>Protivín</t>
  </si>
  <si>
    <t>2788/9</t>
  </si>
  <si>
    <t>žst. Protivín</t>
  </si>
  <si>
    <t>Ražice</t>
  </si>
  <si>
    <t>890/1</t>
  </si>
  <si>
    <t>žst. Ražice</t>
  </si>
  <si>
    <t>Vlastec</t>
  </si>
  <si>
    <t>1257/1</t>
  </si>
  <si>
    <t>žst. Vlastec</t>
  </si>
  <si>
    <t>Vráž u Písku</t>
  </si>
  <si>
    <t>133/9</t>
  </si>
  <si>
    <t>žst. Vráž u Písku</t>
  </si>
  <si>
    <t>ČESKÝ KRUMLOV</t>
  </si>
  <si>
    <t>Český Krumlov</t>
  </si>
  <si>
    <t>1527/12</t>
  </si>
  <si>
    <t>žst. Český Krumlov</t>
  </si>
  <si>
    <t>Prostřední Svince-Holkov</t>
  </si>
  <si>
    <t>1028/8</t>
  </si>
  <si>
    <t>žst. Holkov</t>
  </si>
  <si>
    <t>Střítež u Kaplice</t>
  </si>
  <si>
    <t>2681/1; 2574/1</t>
  </si>
  <si>
    <t>žst. Kaplice</t>
  </si>
  <si>
    <t>Křemže</t>
  </si>
  <si>
    <t>2382/16</t>
  </si>
  <si>
    <t>žst. Křemže</t>
  </si>
  <si>
    <t>Omlenice</t>
  </si>
  <si>
    <t>1137/12</t>
  </si>
  <si>
    <t>žst. Omlenice</t>
  </si>
  <si>
    <t>Zlatá Koruna</t>
  </si>
  <si>
    <t>280/1</t>
  </si>
  <si>
    <t>žst. Zlatá Koruna</t>
  </si>
  <si>
    <t>HLUBOKÁ NAD VLTAVOU</t>
  </si>
  <si>
    <t>Hluboká nad Vltavou</t>
  </si>
  <si>
    <t>1542/13; 35/51</t>
  </si>
  <si>
    <t>žst. Hluboká nad Vltavou</t>
  </si>
  <si>
    <t>NOVÉ HRADY</t>
  </si>
  <si>
    <t>Nové Hrady</t>
  </si>
  <si>
    <t>2270/5, 2275/4</t>
  </si>
  <si>
    <t>žst. Nové Hrady</t>
  </si>
  <si>
    <t>Suchdol n/Luž.</t>
  </si>
  <si>
    <t>2306/8</t>
  </si>
  <si>
    <t>pronajato Neumüller</t>
  </si>
  <si>
    <t>Chýnov</t>
  </si>
  <si>
    <t>1498/21</t>
  </si>
  <si>
    <t>pronajato ČD logistic</t>
  </si>
  <si>
    <t>pronajato Holzindrustie</t>
  </si>
  <si>
    <t>Kájov</t>
  </si>
  <si>
    <t>2105/1</t>
  </si>
  <si>
    <t>pronajato Hanák</t>
  </si>
  <si>
    <t>České Velenice</t>
  </si>
  <si>
    <t>1253/2</t>
  </si>
  <si>
    <t>pronájem PETRA s.r.o.</t>
  </si>
  <si>
    <t>Dívčice</t>
  </si>
  <si>
    <t>299/2</t>
  </si>
  <si>
    <t>pronajato LČR</t>
  </si>
  <si>
    <t>Volary</t>
  </si>
  <si>
    <t>4929/7</t>
  </si>
  <si>
    <t>pronajato Lockinger</t>
  </si>
  <si>
    <t>Vimperk</t>
  </si>
  <si>
    <t>2616/2</t>
  </si>
  <si>
    <t>pronajato ČD log.</t>
  </si>
  <si>
    <t>Temelín</t>
  </si>
  <si>
    <t>1766/14</t>
  </si>
  <si>
    <t>Zlín</t>
  </si>
  <si>
    <t>STRÁŽNICE</t>
  </si>
  <si>
    <t>Rohatec</t>
  </si>
  <si>
    <t>3427/10</t>
  </si>
  <si>
    <t>nezpevněná</t>
  </si>
  <si>
    <t>RSM Brno</t>
  </si>
  <si>
    <t>skoloud@rsm.cd.cz</t>
  </si>
  <si>
    <t>žst. Rohatec</t>
  </si>
  <si>
    <t>Velká nad Veličkou</t>
  </si>
  <si>
    <t>2890/3</t>
  </si>
  <si>
    <t>žst. Velká nad Veličkou</t>
  </si>
  <si>
    <t>Brno</t>
  </si>
  <si>
    <t>ŽIDLOCHOVICE</t>
  </si>
  <si>
    <t>Novosedly na Moravě</t>
  </si>
  <si>
    <t>5256/10</t>
  </si>
  <si>
    <t>slama@rsm.cd.cz</t>
  </si>
  <si>
    <t>žst. Novosedly</t>
  </si>
  <si>
    <t>Hodonín</t>
  </si>
  <si>
    <t>2864/610+2091/1</t>
  </si>
  <si>
    <t>žst. Hodonín</t>
  </si>
  <si>
    <t>Miroslav</t>
  </si>
  <si>
    <t>2600/16</t>
  </si>
  <si>
    <t>žst. Miroslav</t>
  </si>
  <si>
    <t>Moravský Krumlov</t>
  </si>
  <si>
    <t>2025/19</t>
  </si>
  <si>
    <t>žst. Moravský Krumlov</t>
  </si>
  <si>
    <t>Podivín</t>
  </si>
  <si>
    <t>2213/23</t>
  </si>
  <si>
    <t>Bučovice</t>
  </si>
  <si>
    <t>Telnice u Brna</t>
  </si>
  <si>
    <t>1109/9,1279/3</t>
  </si>
  <si>
    <t>jahoda@rsm.cd.cz</t>
  </si>
  <si>
    <t>žst.Sokolnice</t>
  </si>
  <si>
    <t>Šakvice</t>
  </si>
  <si>
    <t>4859/27</t>
  </si>
  <si>
    <t>žst. Šakvice</t>
  </si>
  <si>
    <t>PROSTĚJOV</t>
  </si>
  <si>
    <t>Velké Opatovice</t>
  </si>
  <si>
    <t>2096/3</t>
  </si>
  <si>
    <t>žst.Velké Opatovice</t>
  </si>
  <si>
    <t>BUČOVICE</t>
  </si>
  <si>
    <t>Nemojany</t>
  </si>
  <si>
    <t>1417/8</t>
  </si>
  <si>
    <t>ano</t>
  </si>
  <si>
    <t>žst.Luleč</t>
  </si>
  <si>
    <t>Rousínov u Vyškova</t>
  </si>
  <si>
    <t>1672/32,1672/18</t>
  </si>
  <si>
    <t>žst.Rousínov,částečný pronájem</t>
  </si>
  <si>
    <t>ČERNÁ HORA</t>
  </si>
  <si>
    <t>Boskovice</t>
  </si>
  <si>
    <t>7179/2</t>
  </si>
  <si>
    <t>žst.Boskovice</t>
  </si>
  <si>
    <t>Horní Heršpice</t>
  </si>
  <si>
    <t>2012/1</t>
  </si>
  <si>
    <t>slachta@rsm.cd.cz</t>
  </si>
  <si>
    <t>Letovice</t>
  </si>
  <si>
    <t>2414/7</t>
  </si>
  <si>
    <t>žst. Letovice</t>
  </si>
  <si>
    <t>Modřice</t>
  </si>
  <si>
    <t>2165/5</t>
  </si>
  <si>
    <t>žst.Modřice</t>
  </si>
  <si>
    <t>Nedvědice pod Pernštejnem</t>
  </si>
  <si>
    <t>1153/1</t>
  </si>
  <si>
    <t>žst.Nedvědice</t>
  </si>
  <si>
    <t>Skalice nad Svitavou</t>
  </si>
  <si>
    <t>224/68,224/8</t>
  </si>
  <si>
    <t>žst. Skalice nad Svitavou</t>
  </si>
  <si>
    <t>Tišnov</t>
  </si>
  <si>
    <t>2400/20</t>
  </si>
  <si>
    <t>žst.Tišnov</t>
  </si>
  <si>
    <t>NÁMĚŠŤ NAD OSLAVOU</t>
  </si>
  <si>
    <t>Tetčice</t>
  </si>
  <si>
    <t>1017/1</t>
  </si>
  <si>
    <t>ZNOJMO</t>
  </si>
  <si>
    <t>Božice</t>
  </si>
  <si>
    <t>1066/4</t>
  </si>
  <si>
    <t>žst. Božice</t>
  </si>
  <si>
    <t>Ctidružice</t>
  </si>
  <si>
    <t>221/1</t>
  </si>
  <si>
    <t>žst. Grešlové Mýto, manipulační plochy</t>
  </si>
  <si>
    <t>Žerůtky u Znojma</t>
  </si>
  <si>
    <t>669/14</t>
  </si>
  <si>
    <t>dajc@rsm.cd.cz</t>
  </si>
  <si>
    <t>žst. Olbramkostel, manipulační plocha</t>
  </si>
  <si>
    <t>Znojmo-město</t>
  </si>
  <si>
    <t>5621/1</t>
  </si>
  <si>
    <t>žst.Znojmo, část pozemku zarostlá dřevinami</t>
  </si>
  <si>
    <t>Znojmo</t>
  </si>
  <si>
    <t>5629/1</t>
  </si>
  <si>
    <t>pronajato Dřevo produkt</t>
  </si>
  <si>
    <t>Šumná</t>
  </si>
  <si>
    <t>528/6</t>
  </si>
  <si>
    <t>pronajato Na pořadí 314 s.r.o.</t>
  </si>
  <si>
    <t>523/2</t>
  </si>
  <si>
    <t>Hrušovany nad Jevišovkou</t>
  </si>
  <si>
    <t>735/4</t>
  </si>
  <si>
    <t>pronajato Prodex</t>
  </si>
  <si>
    <t>Moravské Bránice</t>
  </si>
  <si>
    <t>608/13</t>
  </si>
  <si>
    <t>pronajato Wagner</t>
  </si>
  <si>
    <t>Šebetov</t>
  </si>
  <si>
    <t>3307/1</t>
  </si>
  <si>
    <t>pronajato MP Lesy</t>
  </si>
  <si>
    <t>Blažovice</t>
  </si>
  <si>
    <t>pronajato REVEDA</t>
  </si>
  <si>
    <t>538/5</t>
  </si>
  <si>
    <t>528/15</t>
  </si>
  <si>
    <t>Čebín</t>
  </si>
  <si>
    <t xml:space="preserve">Konečný Pavel </t>
  </si>
  <si>
    <t xml:space="preserve">konecnyp@szdc.cz, 972 631 465 </t>
  </si>
  <si>
    <t>zastávka Čebín</t>
  </si>
  <si>
    <t>Silůvky</t>
  </si>
  <si>
    <t>824/1</t>
  </si>
  <si>
    <t xml:space="preserve">Dupal Vratislav </t>
  </si>
  <si>
    <t xml:space="preserve">dupalv@szdc.cz, 724 231 997 </t>
  </si>
  <si>
    <t>zastávka Silůvky, Plocha zpevněná z 50 %.</t>
  </si>
  <si>
    <t>Karlovy Vary</t>
  </si>
  <si>
    <t>FRANTIŠKOVY LÁZNĚ</t>
  </si>
  <si>
    <t>Hazlov</t>
  </si>
  <si>
    <t>1758/6</t>
  </si>
  <si>
    <t>pronajato Dřevo na míru</t>
  </si>
  <si>
    <t>RSM Hradec Králové</t>
  </si>
  <si>
    <t>KLÁŠTEREC</t>
  </si>
  <si>
    <t>Stráž nad Ohří</t>
  </si>
  <si>
    <t>pronajato VLS</t>
  </si>
  <si>
    <t>ČR - SPÚ</t>
  </si>
  <si>
    <t>nezemědělské využití - cena obvyklá</t>
  </si>
  <si>
    <t>TOUŽIM</t>
  </si>
  <si>
    <t>Bochov</t>
  </si>
  <si>
    <t>4721/1</t>
  </si>
  <si>
    <t>Ing. Petr Polák</t>
  </si>
  <si>
    <t>PolakP@szdc.cz, 972 442 143</t>
  </si>
  <si>
    <t>Bochov Elektřina možné zařídit přípojku</t>
  </si>
  <si>
    <t>Poutnov</t>
  </si>
  <si>
    <t>494/3</t>
  </si>
  <si>
    <t>PolakP@szdc.cz, 972 442 144</t>
  </si>
  <si>
    <t>Poutnov (max. do ?-prodej) Elektřina možné zařídit přípojku</t>
  </si>
  <si>
    <t>Teplá</t>
  </si>
  <si>
    <t>3036/8</t>
  </si>
  <si>
    <t>PolakP@szdc.cz, 972 442 145</t>
  </si>
  <si>
    <t>Teplá Elektřina možné zařídit přípojku</t>
  </si>
  <si>
    <t>Toužim</t>
  </si>
  <si>
    <t>3136/1</t>
  </si>
  <si>
    <t>PolakP@szdc.cz, 972 442 146</t>
  </si>
  <si>
    <t>Toužim Elektřina možné zařídit přípojku</t>
  </si>
  <si>
    <t>Královéhradecký</t>
  </si>
  <si>
    <t>Liberec</t>
  </si>
  <si>
    <t>JABLONEC NAD NISOU</t>
  </si>
  <si>
    <t>Vrchlabí</t>
  </si>
  <si>
    <t>1921/1</t>
  </si>
  <si>
    <t>pronajato KRNAP</t>
  </si>
  <si>
    <t>Choceň</t>
  </si>
  <si>
    <t>RYCHNOV NAD KNĚŽNOU</t>
  </si>
  <si>
    <t>Předměřice nad Labem</t>
  </si>
  <si>
    <t>900/7</t>
  </si>
  <si>
    <t>od 13.8.2018</t>
  </si>
  <si>
    <t>dostal@rsm.cd.cz, 725529047</t>
  </si>
  <si>
    <t>HOŘICE</t>
  </si>
  <si>
    <t>Sylvárov</t>
  </si>
  <si>
    <t>311/21</t>
  </si>
  <si>
    <t>petr@rsm.cd.cz, 606934219</t>
  </si>
  <si>
    <t>Dvůr Králové nad Labem</t>
  </si>
  <si>
    <t>Libuň</t>
  </si>
  <si>
    <t>922/5</t>
  </si>
  <si>
    <t>spetlik@rsm.cd.cz, 724495584</t>
  </si>
  <si>
    <t>Ostroměř</t>
  </si>
  <si>
    <t>848/2</t>
  </si>
  <si>
    <t>DVŮR KRÁLOVÉ</t>
  </si>
  <si>
    <t>Velká Ves u Broumova</t>
  </si>
  <si>
    <t>1143/33</t>
  </si>
  <si>
    <t>pokorny@rsm.cd.cz, 727873699</t>
  </si>
  <si>
    <t>Broumov</t>
  </si>
  <si>
    <t>Malé Svatoňovice</t>
  </si>
  <si>
    <t>Meziměstí</t>
  </si>
  <si>
    <t>755/78</t>
  </si>
  <si>
    <t>ČR - ÚZSVM</t>
  </si>
  <si>
    <t>Rokytnice v Orlických horách</t>
  </si>
  <si>
    <t>730/1</t>
  </si>
  <si>
    <t>ÚZSVM</t>
  </si>
  <si>
    <t>jana.horakova@uzsvm.cz, 737 281 460 tomas.rucker@uzsvm.cz, 731 451 817</t>
  </si>
  <si>
    <t>CHOCEŇ</t>
  </si>
  <si>
    <t>Pohřebačka</t>
  </si>
  <si>
    <t>558/1</t>
  </si>
  <si>
    <t>Jiří Vít</t>
  </si>
  <si>
    <t xml:space="preserve">VítJ@szdc.cz, 724 564 825 </t>
  </si>
  <si>
    <t>žst. Opatovice n. Labem-Pohřebačka</t>
  </si>
  <si>
    <t>Dobruška</t>
  </si>
  <si>
    <t>Jiří Čorej, Bc.</t>
  </si>
  <si>
    <t>Corej@szdc.cz, 723 475 534</t>
  </si>
  <si>
    <t>nz. Dobruška</t>
  </si>
  <si>
    <t>Dolní Rokytnice v Orlických horách</t>
  </si>
  <si>
    <t>1046/1</t>
  </si>
  <si>
    <t>Walter Bezdíček</t>
  </si>
  <si>
    <t>Bezdicek@szdc.cz, 602 471 841</t>
  </si>
  <si>
    <t>dD3 Rokytnice v Orl.horách</t>
  </si>
  <si>
    <t>NYMBURK</t>
  </si>
  <si>
    <t>Sobotka</t>
  </si>
  <si>
    <t>Ryba Milan</t>
  </si>
  <si>
    <t>RybaM@szdc.cz, 724 230 589</t>
  </si>
  <si>
    <t>žst. Sobotka</t>
  </si>
  <si>
    <t>Mladějov v Čechách</t>
  </si>
  <si>
    <t>žst. Mladějov v Čechách</t>
  </si>
  <si>
    <t>Račice nad Trotinou</t>
  </si>
  <si>
    <t>936/1</t>
  </si>
  <si>
    <t>Zdeněk Štejnar</t>
  </si>
  <si>
    <t>Stejnar@szdc.cz, 602 142 637</t>
  </si>
  <si>
    <t>nz. Račice n. Trotinou, projednává se prodej obci (TS č.23/2018)</t>
  </si>
  <si>
    <t>Sadová u Sovětic</t>
  </si>
  <si>
    <t>589/5</t>
  </si>
  <si>
    <t xml:space="preserve">nz. Sadová </t>
  </si>
  <si>
    <t>Kalná Voda</t>
  </si>
  <si>
    <t>46/1</t>
  </si>
  <si>
    <t>Miroslav Karlíček</t>
  </si>
  <si>
    <t>Karlicek@szdc.cz, 723 434 804</t>
  </si>
  <si>
    <t>nz. Kalná Voda, provozovatel trati PDV Railway</t>
  </si>
  <si>
    <t>Poříčí u Trutnova</t>
  </si>
  <si>
    <t>1409/1</t>
  </si>
  <si>
    <t>žst. Trutnov střed</t>
  </si>
  <si>
    <t>Roztoky u Jilemnice</t>
  </si>
  <si>
    <t>2093/8</t>
  </si>
  <si>
    <t>ČESKÁ LÍPA</t>
  </si>
  <si>
    <t>Mimoň</t>
  </si>
  <si>
    <t>4400/2</t>
  </si>
  <si>
    <t>ditzka@rsm.cd.cz, 725501970</t>
  </si>
  <si>
    <t>JEŠTĚD</t>
  </si>
  <si>
    <t>Křižany</t>
  </si>
  <si>
    <t>Martinice v Krkonoších</t>
  </si>
  <si>
    <t>814/1</t>
  </si>
  <si>
    <t>MĚLNÍK</t>
  </si>
  <si>
    <t>Korce</t>
  </si>
  <si>
    <t>780/3</t>
  </si>
  <si>
    <t>KPÚ pro Liberecký kraj</t>
  </si>
  <si>
    <t>i.jurcova@spucr.cz; 727/956 714</t>
  </si>
  <si>
    <t>Teplice</t>
  </si>
  <si>
    <t>LITOMĚŘICE</t>
  </si>
  <si>
    <t>Polubný</t>
  </si>
  <si>
    <t>3038/2</t>
  </si>
  <si>
    <t>Perlinger Jiří</t>
  </si>
  <si>
    <t>Perlinger@szdc.cz, 607 544 944</t>
  </si>
  <si>
    <t>žst. Kořenov probíhá jednání  s KRNAP o pronájmu části pozemku na kalamitní dříví</t>
  </si>
  <si>
    <t>Josefův Důl u Jablonce nad Nisou</t>
  </si>
  <si>
    <t>Váňa Antonín</t>
  </si>
  <si>
    <t>VanaA@szdc.cz, 723 932 403</t>
  </si>
  <si>
    <t>žst. Josefův Důl</t>
  </si>
  <si>
    <t>FRÝDLANT V ČECHÁCH</t>
  </si>
  <si>
    <t>Horní Řasnice</t>
  </si>
  <si>
    <t>Fogl Miroslav</t>
  </si>
  <si>
    <t>Fogl@szdc.cz, 607 544 927</t>
  </si>
  <si>
    <t>žst. Horní Řasnice</t>
  </si>
  <si>
    <t>Jindřichovice pod Smrkem</t>
  </si>
  <si>
    <t>Frýdek-Místek</t>
  </si>
  <si>
    <t>BRUNTÁL</t>
  </si>
  <si>
    <t>Bruntál-město</t>
  </si>
  <si>
    <t>3882/1; 3883/1</t>
  </si>
  <si>
    <t>Pardy@rsm.cd.cz</t>
  </si>
  <si>
    <t>ŽST Bruntál</t>
  </si>
  <si>
    <t>VÍTKOV</t>
  </si>
  <si>
    <t>Hostašovice</t>
  </si>
  <si>
    <t>758/1</t>
  </si>
  <si>
    <t>kudelat@rsm.cd.cz</t>
  </si>
  <si>
    <t>žst. Hostašovice</t>
  </si>
  <si>
    <t>OPAVA</t>
  </si>
  <si>
    <t>Chabičov ve Slezsku</t>
  </si>
  <si>
    <t>1509/9</t>
  </si>
  <si>
    <t>ŽST Háj ve Slezsku</t>
  </si>
  <si>
    <t>OSTRAVA</t>
  </si>
  <si>
    <t>Jistebník</t>
  </si>
  <si>
    <t>799/2</t>
  </si>
  <si>
    <t>motyka@rsm.cd.cz</t>
  </si>
  <si>
    <t>žst. Jistebník</t>
  </si>
  <si>
    <t>Moravská Ostrava</t>
  </si>
  <si>
    <t>1800/1</t>
  </si>
  <si>
    <t>Ostrava seřaď. n. / báňské</t>
  </si>
  <si>
    <t>Svinov</t>
  </si>
  <si>
    <t>3108/1</t>
  </si>
  <si>
    <t>žst. Svinov</t>
  </si>
  <si>
    <t>FRÝDEK-MÍSTEK</t>
  </si>
  <si>
    <t>Baška</t>
  </si>
  <si>
    <t>2035/1; 2035/6</t>
  </si>
  <si>
    <t>vlk@rsm.cd.cz</t>
  </si>
  <si>
    <t>žst. Baška</t>
  </si>
  <si>
    <t>Kunčice pod Ondřejníkem</t>
  </si>
  <si>
    <t>3529/15</t>
  </si>
  <si>
    <t>žst. žst. Kunčice pod Ondřejníkem</t>
  </si>
  <si>
    <t>Veřovice</t>
  </si>
  <si>
    <t>2168/2</t>
  </si>
  <si>
    <t>žst. Veřovice</t>
  </si>
  <si>
    <t>Šumperk</t>
  </si>
  <si>
    <t>MĚSTO ALBRECHTICE</t>
  </si>
  <si>
    <t>Skrochovice</t>
  </si>
  <si>
    <t>428/1;  428/18</t>
  </si>
  <si>
    <t>ŽST Skrochovice, částečně zabraná uloženým dřevem</t>
  </si>
  <si>
    <t>ŠTERNBERK</t>
  </si>
  <si>
    <t>Ondrášov</t>
  </si>
  <si>
    <t>ŽST Moravský Beroun, nemožnost chemické asanace dřeva</t>
  </si>
  <si>
    <t>Louky nad Olší</t>
  </si>
  <si>
    <t>2715/1</t>
  </si>
  <si>
    <t>pronajato Agros</t>
  </si>
  <si>
    <t>Albrechtice u Českého Těšína</t>
  </si>
  <si>
    <t>2400/1</t>
  </si>
  <si>
    <t>žst. Albrechtice u Českého Těšína</t>
  </si>
  <si>
    <t>Havířov-město</t>
  </si>
  <si>
    <t>3705/1</t>
  </si>
  <si>
    <t>žst. Havířov</t>
  </si>
  <si>
    <t>Hnojník</t>
  </si>
  <si>
    <t>1575/1</t>
  </si>
  <si>
    <t>žst.Hnojník</t>
  </si>
  <si>
    <t>Český Těšín</t>
  </si>
  <si>
    <t>3343/1</t>
  </si>
  <si>
    <t>žst. Český Těšín</t>
  </si>
  <si>
    <t>Mariánské Hory</t>
  </si>
  <si>
    <t>736/2</t>
  </si>
  <si>
    <t>Ostrava Mariánské Hory, Ostrava levé před nádr.
Napojení na dálnici v dosahu</t>
  </si>
  <si>
    <t>JABLUNKOV</t>
  </si>
  <si>
    <t>Bystřice nad Olší</t>
  </si>
  <si>
    <t>5958/1</t>
  </si>
  <si>
    <t>žst. Bystřice nad Olší</t>
  </si>
  <si>
    <t>Májůvka</t>
  </si>
  <si>
    <t>605/1</t>
  </si>
  <si>
    <t>po domluvě</t>
  </si>
  <si>
    <t>KPÚ pro Moravsloslezský kraj</t>
  </si>
  <si>
    <t>d.mickova@spucr.cz , 727956882</t>
  </si>
  <si>
    <t>JANOVICE</t>
  </si>
  <si>
    <t>Dětřichov nad Bystřicí</t>
  </si>
  <si>
    <t>1303/6</t>
  </si>
  <si>
    <t>Petr Suchánek</t>
  </si>
  <si>
    <t>SuchanekPet@szdc.cz, 972 750 472</t>
  </si>
  <si>
    <t>žst. Dětřichoc n. B., plocha je již částečně využita k nákladce a uskladnění dřeva</t>
  </si>
  <si>
    <t>Valšov</t>
  </si>
  <si>
    <t>679/14</t>
  </si>
  <si>
    <t>SuchanekPet@szdc.cz, 972 750 473</t>
  </si>
  <si>
    <t>žst. Valšov, plocha je již částečně využita k nákladce a uskladnění dřeva</t>
  </si>
  <si>
    <t>Heřmánky nad Odrou</t>
  </si>
  <si>
    <t>613/1</t>
  </si>
  <si>
    <t>Pavel Rovenský</t>
  </si>
  <si>
    <t>Rovensky@szdc.cz, 972 757 282</t>
  </si>
  <si>
    <t>dop. Heřmánky n. O.</t>
  </si>
  <si>
    <t>Vítkov</t>
  </si>
  <si>
    <t>3243, 312</t>
  </si>
  <si>
    <t>Rovensky@szdc.cz, 972 757 283</t>
  </si>
  <si>
    <t>dop. Vítkov,  plocha je již částečně využita k nákladce</t>
  </si>
  <si>
    <t>Budišov nad Budišovkou</t>
  </si>
  <si>
    <t>3572/1</t>
  </si>
  <si>
    <t>pronajato - Opavaská lesní</t>
  </si>
  <si>
    <t>Rovensky@szdc.cz, 972 757 285</t>
  </si>
  <si>
    <t>dop. Budišov n. B., plocha je již částečně využita k nákladce a uskladnění dřeva</t>
  </si>
  <si>
    <t>Litultovice</t>
  </si>
  <si>
    <t>Ne</t>
  </si>
  <si>
    <t>Vladimír Mokáň</t>
  </si>
  <si>
    <t>mokanv@szdc.cz, 972 758 455</t>
  </si>
  <si>
    <t>dop. Mladecko</t>
  </si>
  <si>
    <t>Svobodné Heřmanice</t>
  </si>
  <si>
    <t>1877/2</t>
  </si>
  <si>
    <t>mokanv@szdc.cz, 972 758 457</t>
  </si>
  <si>
    <t>dop. Sv. Heřmanice, přístup přes cizí pozemek</t>
  </si>
  <si>
    <t>Bolatice</t>
  </si>
  <si>
    <t>2819/1</t>
  </si>
  <si>
    <t>mokanv@szdc.cz, 972 758 458</t>
  </si>
  <si>
    <t>z. Bolatice, přístup přes cizí pozemek</t>
  </si>
  <si>
    <t>Děhylov</t>
  </si>
  <si>
    <t>880/1</t>
  </si>
  <si>
    <t>ihned z části</t>
  </si>
  <si>
    <t xml:space="preserve">mokanv@szdc.cz, 972 758 453 </t>
  </si>
  <si>
    <t>žst. Děhylov, na části plochy uložen štěrk</t>
  </si>
  <si>
    <t>Hlučín</t>
  </si>
  <si>
    <t>2217/1</t>
  </si>
  <si>
    <t>mokanv@szdc.cz, 972 758 454</t>
  </si>
  <si>
    <t>dop. Hlučín</t>
  </si>
  <si>
    <t>Bartovice</t>
  </si>
  <si>
    <t>1688/1</t>
  </si>
  <si>
    <t>Jan Curylo</t>
  </si>
  <si>
    <t xml:space="preserve">curylo@szdc.cz, 972 761 188 </t>
  </si>
  <si>
    <t>žst. Ostrava-Bártovice</t>
  </si>
  <si>
    <t>Vítkovice</t>
  </si>
  <si>
    <t>1332/1</t>
  </si>
  <si>
    <t>curylo@szdc.cz, 972 761 189</t>
  </si>
  <si>
    <t>žst. Ostrava-Vítkovice, podél koleje č.4 - zatrolejované!!!</t>
  </si>
  <si>
    <t>Dolní Marklovice</t>
  </si>
  <si>
    <t>95, 96, 97/1</t>
  </si>
  <si>
    <t>František Mravec</t>
  </si>
  <si>
    <t xml:space="preserve">Mravec@szdc.cz, 972 755 482 </t>
  </si>
  <si>
    <t>žst. Petrovice u K., přístup pouze po úzké panelové cestě</t>
  </si>
  <si>
    <t>Sedlnice</t>
  </si>
  <si>
    <t>1137/1</t>
  </si>
  <si>
    <t xml:space="preserve">ihnez z části </t>
  </si>
  <si>
    <t>Ladislav Potoki</t>
  </si>
  <si>
    <t xml:space="preserve">Potoki@szdc.cz, 972 757 520 </t>
  </si>
  <si>
    <t>žst. Sedlnice, problémové vztahy s majitelem parcely 1141/22 AMAZE AGENCY, nutno zajistit přístup do vjezdů firmy</t>
  </si>
  <si>
    <t>Mořkov</t>
  </si>
  <si>
    <t>1294/1</t>
  </si>
  <si>
    <t>podmíněně</t>
  </si>
  <si>
    <t>Vladimír Brzica</t>
  </si>
  <si>
    <t>Brzica@szdc.cz, 972 752 135</t>
  </si>
  <si>
    <t>nz. Mořkov, plocha je již převážně využita k nákladce a uskladnění dřeva, možnost dalšího skladování nutno dohodnout</t>
  </si>
  <si>
    <t>Frýdek</t>
  </si>
  <si>
    <t>7652/18</t>
  </si>
  <si>
    <t>železnice</t>
  </si>
  <si>
    <t>po úpravě (viz pozn.)</t>
  </si>
  <si>
    <t>Luděk Figalla</t>
  </si>
  <si>
    <t xml:space="preserve">Figalla@szdc.cz, 972 752 480 </t>
  </si>
  <si>
    <t>žst. Lískovec u F., plocha je problematicky využitelná, je zarostlá vzrostlou vegetací a protinají ji trasy sítí.</t>
  </si>
  <si>
    <t>Krásné Loučky</t>
  </si>
  <si>
    <t>914/1</t>
  </si>
  <si>
    <t xml:space="preserve">Stanislav Vávra </t>
  </si>
  <si>
    <t xml:space="preserve">Vavras@szdc.cz, 972 759 480 </t>
  </si>
  <si>
    <t>nz. Krásné Loučky, lesní společnost žádala o pronájem</t>
  </si>
  <si>
    <t>Rýmařov</t>
  </si>
  <si>
    <t>2144/1</t>
  </si>
  <si>
    <t>SuchanekPet@szdc.cz, 972 750 474</t>
  </si>
  <si>
    <t>dop. Rymářov, plocha je již částečně využita k nákladce a uskladnění dřeva</t>
  </si>
  <si>
    <t>Sedm Dvorů</t>
  </si>
  <si>
    <t>433/4</t>
  </si>
  <si>
    <t xml:space="preserve">SuchanekPet@szdc.cz, 972 750 471 </t>
  </si>
  <si>
    <t>žst. M. Beroun v místě zrušené boční rampy</t>
  </si>
  <si>
    <t>Polom u Hranic</t>
  </si>
  <si>
    <t>833/2</t>
  </si>
  <si>
    <t>Rovensky@szdc.cz, 972 757 286</t>
  </si>
  <si>
    <t xml:space="preserve">žst. Polom </t>
  </si>
  <si>
    <t>Jeseník</t>
  </si>
  <si>
    <t>2425/15</t>
  </si>
  <si>
    <t>pronajato Arcib.Olomouc</t>
  </si>
  <si>
    <t>Písečná</t>
  </si>
  <si>
    <t>1478/7</t>
  </si>
  <si>
    <t>pronajato Dřevo Málek</t>
  </si>
  <si>
    <t>Šternberk</t>
  </si>
  <si>
    <t>2350/1</t>
  </si>
  <si>
    <t>pronajato KATR a.s.</t>
  </si>
  <si>
    <t>Lukavice na Moravě</t>
  </si>
  <si>
    <t>912/1</t>
  </si>
  <si>
    <t>pronajato Zábřežská lesní</t>
  </si>
  <si>
    <t>Rudoltovice</t>
  </si>
  <si>
    <t>25/2</t>
  </si>
  <si>
    <t>Po projednání s velitelem SDM Libavá (uživatel)</t>
  </si>
  <si>
    <t>AHNM Brno - PS 0736 Libavá</t>
  </si>
  <si>
    <t xml:space="preserve">Ing. Miroslav Flajtinger tel. 973 445 718, mob. 724 244 770, Ing. Tomáš Rusinko tel. 973 423 102, mob. 602 571 433 </t>
  </si>
  <si>
    <t>Užívání nutno projednat s uživatelem. Na uvedeném parcelním čísle a sousedících parcelních číslech probíhá výcvik vojsk.</t>
  </si>
  <si>
    <t>Uničov</t>
  </si>
  <si>
    <t>2421/8; 2421/9;2421/7</t>
  </si>
  <si>
    <t>bartonek@rsm.cd.cz</t>
  </si>
  <si>
    <t>ŽST. Uničov</t>
  </si>
  <si>
    <t>JESENÍK</t>
  </si>
  <si>
    <t>Vápenná</t>
  </si>
  <si>
    <t>3674/5</t>
  </si>
  <si>
    <t>danek@rsm.cd.cz</t>
  </si>
  <si>
    <t>Žulová</t>
  </si>
  <si>
    <t>1220/2</t>
  </si>
  <si>
    <t>využitelnost od 8/2018</t>
  </si>
  <si>
    <t>RUDA NAD MORAVOU</t>
  </si>
  <si>
    <t>Hoštejn</t>
  </si>
  <si>
    <t>404/4</t>
  </si>
  <si>
    <t>ŽST Hoštejn</t>
  </si>
  <si>
    <t>Mohelnice</t>
  </si>
  <si>
    <t>2984/1</t>
  </si>
  <si>
    <t>žst.Mohelnice</t>
  </si>
  <si>
    <t>1799/12</t>
  </si>
  <si>
    <t>Červenka</t>
  </si>
  <si>
    <t>1149/17; 1149/19</t>
  </si>
  <si>
    <t>ŽST. Červenka</t>
  </si>
  <si>
    <t>Domašov nad Bystřicí</t>
  </si>
  <si>
    <t>1450/9</t>
  </si>
  <si>
    <t>ŽST Domašov nad Bystřicí, nemožnost chemické asanace dřeva</t>
  </si>
  <si>
    <t>Brodek u Přerova</t>
  </si>
  <si>
    <t>ŽST Brodek u Přerova, areál MO</t>
  </si>
  <si>
    <t>Drahotuše</t>
  </si>
  <si>
    <t>1610/2</t>
  </si>
  <si>
    <t>ŽST Drahotuše</t>
  </si>
  <si>
    <t>Hranice</t>
  </si>
  <si>
    <t>911/1</t>
  </si>
  <si>
    <t xml:space="preserve">ŽST Hranice na Moravě, částečně využívá SŽDC </t>
  </si>
  <si>
    <t>Chropyně</t>
  </si>
  <si>
    <t>595/1</t>
  </si>
  <si>
    <t>ŽST Chropyně</t>
  </si>
  <si>
    <t>Kojetín</t>
  </si>
  <si>
    <t>5784/16</t>
  </si>
  <si>
    <t>ŽST Kojetín</t>
  </si>
  <si>
    <t>Lipník nad Bečvou</t>
  </si>
  <si>
    <t>3431/48</t>
  </si>
  <si>
    <t>ŽST Lipník nad Bečvou</t>
  </si>
  <si>
    <t>žst Polom</t>
  </si>
  <si>
    <t>Přerov</t>
  </si>
  <si>
    <t>ŽST Přerov</t>
  </si>
  <si>
    <t>Zlaté Hory v Jeseníkách</t>
  </si>
  <si>
    <t>2425/1</t>
  </si>
  <si>
    <t>Buryánek Vlastimil</t>
  </si>
  <si>
    <t>buryanek@szdc.cz, 606 744 631</t>
  </si>
  <si>
    <t>Zlaté Hory  (+1034m² po výp. lh. 3 měs.)</t>
  </si>
  <si>
    <t>Zlaté Hory</t>
  </si>
  <si>
    <t>Javorník-ves</t>
  </si>
  <si>
    <t>420/1</t>
  </si>
  <si>
    <t>Javorník ve Slezsku</t>
  </si>
  <si>
    <t>Bernartice u Javorníka</t>
  </si>
  <si>
    <t>HANUŠOVICE</t>
  </si>
  <si>
    <t>Staré Město pod Králickým Sněžníkem</t>
  </si>
  <si>
    <t>3411/3</t>
  </si>
  <si>
    <t xml:space="preserve">ihned </t>
  </si>
  <si>
    <t>Vaníček Jan</t>
  </si>
  <si>
    <t>vanicekj@szdc.cz, 724 644 304</t>
  </si>
  <si>
    <t>Staré Město pod Sněžníkem (+641m² po výp. lh. 3 měs.)</t>
  </si>
  <si>
    <t>Staré Město pod Sněžníkem</t>
  </si>
  <si>
    <t>Vysoký Potok</t>
  </si>
  <si>
    <t>Podlesí</t>
  </si>
  <si>
    <t>Štíty-město</t>
  </si>
  <si>
    <t>1604/1</t>
  </si>
  <si>
    <t>Podhájecký Pavel</t>
  </si>
  <si>
    <t>Podhajecky@szdc.cz, 725 210 023</t>
  </si>
  <si>
    <t xml:space="preserve">žst. Štíty </t>
  </si>
  <si>
    <t>Ruda nad Moravou</t>
  </si>
  <si>
    <t>723/3, st. 143</t>
  </si>
  <si>
    <t>Příkazy</t>
  </si>
  <si>
    <t>1171/1</t>
  </si>
  <si>
    <t>Chudík Pavel</t>
  </si>
  <si>
    <t>chudik@szdc.cz, 606 744 632</t>
  </si>
  <si>
    <t>Sobáčov</t>
  </si>
  <si>
    <t>Kozman Václav</t>
  </si>
  <si>
    <t>kozman@szdc.cz, 606 760 705</t>
  </si>
  <si>
    <t>Chudobín</t>
  </si>
  <si>
    <t>Mladeč</t>
  </si>
  <si>
    <t>676/1</t>
  </si>
  <si>
    <t>Velká Bystřice</t>
  </si>
  <si>
    <t>2125/7</t>
  </si>
  <si>
    <t>Ptení</t>
  </si>
  <si>
    <t>3832/1</t>
  </si>
  <si>
    <t>Zedka Svatoslav</t>
  </si>
  <si>
    <t>zedka@szdc.cz, 725 275 436</t>
  </si>
  <si>
    <t>Ptení  1640m² po výp. lh. 3 měs.</t>
  </si>
  <si>
    <t>Tovačov</t>
  </si>
  <si>
    <t>804/2</t>
  </si>
  <si>
    <t>Kelar Ivo</t>
  </si>
  <si>
    <t>kelar@szdc.cz, 606 686 004</t>
  </si>
  <si>
    <t>Lobodice</t>
  </si>
  <si>
    <t>Horní Lipka</t>
  </si>
  <si>
    <t>zpevněná částečně</t>
  </si>
  <si>
    <t>Červený Potok</t>
  </si>
  <si>
    <t>NASAVRKY</t>
  </si>
  <si>
    <t>Stíčany</t>
  </si>
  <si>
    <t>259/1</t>
  </si>
  <si>
    <t>kratoch@rsm.cd.cz, 724756816</t>
  </si>
  <si>
    <t>Hrochův Týnec</t>
  </si>
  <si>
    <t>Chrast</t>
  </si>
  <si>
    <t>1055/26</t>
  </si>
  <si>
    <t>SVITAVY</t>
  </si>
  <si>
    <t>Březová nad Svitavou</t>
  </si>
  <si>
    <t>987/1</t>
  </si>
  <si>
    <t>žst.Březová nad Svitavou</t>
  </si>
  <si>
    <t>Dlouhá Loučka</t>
  </si>
  <si>
    <t>KPÚ pro pardubický kraj</t>
  </si>
  <si>
    <t>k.sedlakova@spucr.cz, 727 966 756</t>
  </si>
  <si>
    <t>inž. sítě zavedeny k sousedním budovám, které nejsou ve vlastnictví státu</t>
  </si>
  <si>
    <t>st.p.č. 286</t>
  </si>
  <si>
    <t>st.p.č. 290</t>
  </si>
  <si>
    <t>Červená Voda</t>
  </si>
  <si>
    <t>2717/1</t>
  </si>
  <si>
    <t>žst. Červená Voda, nakládka dřeva probíhá</t>
  </si>
  <si>
    <t>LANŠKROUN</t>
  </si>
  <si>
    <t>Litomyšl</t>
  </si>
  <si>
    <t>2359/1</t>
  </si>
  <si>
    <t>Šrubař Jindřich</t>
  </si>
  <si>
    <t>Srubar@szdc.cz, 724 403 570</t>
  </si>
  <si>
    <t xml:space="preserve">žst. Litomyšl </t>
  </si>
  <si>
    <t>Lanškroun</t>
  </si>
  <si>
    <t>3911/4</t>
  </si>
  <si>
    <t>Klicha Ladislav</t>
  </si>
  <si>
    <t>Klicha@szdc.cz, 724 403 560</t>
  </si>
  <si>
    <t>žst. Lanškroun</t>
  </si>
  <si>
    <t>Hrušová</t>
  </si>
  <si>
    <t>641/1</t>
  </si>
  <si>
    <t>žst. Cerekvice nad Loučnou</t>
  </si>
  <si>
    <t>Plzeň</t>
  </si>
  <si>
    <t>PŘEŠTICE</t>
  </si>
  <si>
    <t>Blovice</t>
  </si>
  <si>
    <t>313/5</t>
  </si>
  <si>
    <t>pronajato HEPA</t>
  </si>
  <si>
    <t>vorackova@rsm.cd.cz, 724852443</t>
  </si>
  <si>
    <t>PŘIMDA</t>
  </si>
  <si>
    <t>Bor</t>
  </si>
  <si>
    <t>2138/5, 2601/6</t>
  </si>
  <si>
    <t>pronajato Almera</t>
  </si>
  <si>
    <t>2138/5</t>
  </si>
  <si>
    <t>pronajato Solitera</t>
  </si>
  <si>
    <t>novak@rsm.cd.cz</t>
  </si>
  <si>
    <t>KLATOVY</t>
  </si>
  <si>
    <t>Hrádek u Sušice</t>
  </si>
  <si>
    <t>1317/5</t>
  </si>
  <si>
    <t>pronajato Sýkora</t>
  </si>
  <si>
    <t>Domažlice</t>
  </si>
  <si>
    <t>Poběžovice</t>
  </si>
  <si>
    <t>pronajato Anděl</t>
  </si>
  <si>
    <t>Stod</t>
  </si>
  <si>
    <t>pronajato Sklenář</t>
  </si>
  <si>
    <t>3937/34</t>
  </si>
  <si>
    <t>Sušice</t>
  </si>
  <si>
    <t>2377/10</t>
  </si>
  <si>
    <t>Švihov u Klatov</t>
  </si>
  <si>
    <t>1569/6</t>
  </si>
  <si>
    <t>pronajato Andrlík</t>
  </si>
  <si>
    <t>PLASY</t>
  </si>
  <si>
    <t>Žihle</t>
  </si>
  <si>
    <t>1240/1</t>
  </si>
  <si>
    <t>pronajato Pelc</t>
  </si>
  <si>
    <t>pronajato Král</t>
  </si>
  <si>
    <t>999, 995/21</t>
  </si>
  <si>
    <t>pronajato Horešovský</t>
  </si>
  <si>
    <t>Dobřany</t>
  </si>
  <si>
    <t>2365/1</t>
  </si>
  <si>
    <t>žst. Dobřany</t>
  </si>
  <si>
    <t>Mirošov</t>
  </si>
  <si>
    <t>1929/9</t>
  </si>
  <si>
    <t>žst. Mirošov</t>
  </si>
  <si>
    <t>Nezvěstice</t>
  </si>
  <si>
    <t>670/2</t>
  </si>
  <si>
    <t>žst. Nezvěstice</t>
  </si>
  <si>
    <t>žst. Švihov u Klatov</t>
  </si>
  <si>
    <t>Kaznějov</t>
  </si>
  <si>
    <t>447/1</t>
  </si>
  <si>
    <t>žst. Kaznějov</t>
  </si>
  <si>
    <t>Třemošná</t>
  </si>
  <si>
    <t>176/1</t>
  </si>
  <si>
    <t>žst. Třemošná u Plzně</t>
  </si>
  <si>
    <t>STŘÍBRO</t>
  </si>
  <si>
    <t>Pňovany</t>
  </si>
  <si>
    <t>1653/12</t>
  </si>
  <si>
    <t>žst. Pňovany</t>
  </si>
  <si>
    <t>Stříbro</t>
  </si>
  <si>
    <t>3258/1</t>
  </si>
  <si>
    <t>žst. Stříbro</t>
  </si>
  <si>
    <t>Svojšín</t>
  </si>
  <si>
    <t>1090/1</t>
  </si>
  <si>
    <t>nezpevněné</t>
  </si>
  <si>
    <t>žst. Svojšín</t>
  </si>
  <si>
    <t>Dvorec</t>
  </si>
  <si>
    <t>133/26</t>
  </si>
  <si>
    <t>Nýrsko</t>
  </si>
  <si>
    <t>1918/6</t>
  </si>
  <si>
    <t>žst. Nýrsko</t>
  </si>
  <si>
    <t>DOMAŽLICE</t>
  </si>
  <si>
    <t>Česká Kubice</t>
  </si>
  <si>
    <t>výp. lh. 3 měs.</t>
  </si>
  <si>
    <t>žst. Česká Kubice</t>
  </si>
  <si>
    <t>2898/55</t>
  </si>
  <si>
    <t>žst. Domažlice</t>
  </si>
  <si>
    <t>Planá u Mariánských Lázní</t>
  </si>
  <si>
    <t>1349/15</t>
  </si>
  <si>
    <t>žst. Planá u Mariánských Lázní</t>
  </si>
  <si>
    <t>Tachov</t>
  </si>
  <si>
    <t>2508/1</t>
  </si>
  <si>
    <t>žst. Tachov</t>
  </si>
  <si>
    <t>Maxov</t>
  </si>
  <si>
    <t>379/1</t>
  </si>
  <si>
    <t>na dotaz</t>
  </si>
  <si>
    <t xml:space="preserve"> Karla Hlavsová</t>
  </si>
  <si>
    <t>Jedná se o zaplocený areál (1,03ha) s částečně zpevněným povrchem, přibližně polovina pozemku nezpevněná a zarostlá náletovými dřevinami, nachází se v intravilánu obce Maxov. V areálu se nacházejí budovy třetí osoby – Městyse Všeruby. Úřad eviduje žádosti o odkup pozemku a připravuje jeho prodej. Areál se nachází cca 300 m od lesního pozemku.</t>
  </si>
  <si>
    <t>Plzeňský kraj</t>
  </si>
  <si>
    <t>Kokořov</t>
  </si>
  <si>
    <t>967/3</t>
  </si>
  <si>
    <t>Strejc Václav</t>
  </si>
  <si>
    <t>vaclav.strejc@suspk.eu, 605299715</t>
  </si>
  <si>
    <t>patří  pod stř.Dvorec</t>
  </si>
  <si>
    <t>Trojany u Mladotic</t>
  </si>
  <si>
    <t>477/5, 478, 498/2</t>
  </si>
  <si>
    <t>Meniecová - stř.74</t>
  </si>
  <si>
    <t>ivana.meniecova@suspk.eu, 775430484</t>
  </si>
  <si>
    <t>Koloveč</t>
  </si>
  <si>
    <t>1837, 1838</t>
  </si>
  <si>
    <t>Jiří Velíšek ml.</t>
  </si>
  <si>
    <t>jiri.velisek@suspk.eu 777497811</t>
  </si>
  <si>
    <t>Hvožďany u Poběžovic</t>
  </si>
  <si>
    <t>259/5, 259/6, 271/11</t>
  </si>
  <si>
    <t>Čermák František</t>
  </si>
  <si>
    <t>frantisek.cermak@suspk.eu, 773776712</t>
  </si>
  <si>
    <t>Klíčov u Mrákova</t>
  </si>
  <si>
    <t>Praha</t>
  </si>
  <si>
    <t>KÁCOV</t>
  </si>
  <si>
    <t>U.Janovice</t>
  </si>
  <si>
    <t>1156/1</t>
  </si>
  <si>
    <t>pronajato HUGOLES</t>
  </si>
  <si>
    <t>Loukov i Mnichova Hradiště</t>
  </si>
  <si>
    <t>887/1</t>
  </si>
  <si>
    <t>pronajato Volf</t>
  </si>
  <si>
    <t>LEDEČ NAD SÁZAVOU</t>
  </si>
  <si>
    <t>Zruč nad Sázavou</t>
  </si>
  <si>
    <t>2825/1</t>
  </si>
  <si>
    <t>visek@rsm.cd.cz, 724753994</t>
  </si>
  <si>
    <t>žst. Zruč nad Sázavou</t>
  </si>
  <si>
    <t>Čáslav</t>
  </si>
  <si>
    <t>2117/26</t>
  </si>
  <si>
    <t>žst. Čáslav</t>
  </si>
  <si>
    <t>Městec Králové</t>
  </si>
  <si>
    <t>1495/1</t>
  </si>
  <si>
    <t>Dobříš</t>
  </si>
  <si>
    <t>2679/1</t>
  </si>
  <si>
    <t>sajdak@rsm.cd.cz</t>
  </si>
  <si>
    <t>žst. Dobříš</t>
  </si>
  <si>
    <t>Lazsko</t>
  </si>
  <si>
    <t>žst. Milín</t>
  </si>
  <si>
    <t>Příbram</t>
  </si>
  <si>
    <t>2762/48</t>
  </si>
  <si>
    <t>žst. Příbram</t>
  </si>
  <si>
    <t>Český Brod</t>
  </si>
  <si>
    <t>709/4</t>
  </si>
  <si>
    <t>žst. Český Brod</t>
  </si>
  <si>
    <t>Kolín</t>
  </si>
  <si>
    <t>3029/18</t>
  </si>
  <si>
    <t>žst. Kolín m.n. - nákladiště</t>
  </si>
  <si>
    <t>Nymburk</t>
  </si>
  <si>
    <t>1811/1</t>
  </si>
  <si>
    <t>žst. Nymburk Město</t>
  </si>
  <si>
    <t>Velký Osek</t>
  </si>
  <si>
    <t>876/1</t>
  </si>
  <si>
    <t>výp.lh.3 měs.</t>
  </si>
  <si>
    <t>žst. Velký Osek</t>
  </si>
  <si>
    <t>Neratovice</t>
  </si>
  <si>
    <t>220/1</t>
  </si>
  <si>
    <t>arazim@rsm.cd.cz,602307942</t>
  </si>
  <si>
    <t>žst. Neratovice</t>
  </si>
  <si>
    <t>Stará Boleslav</t>
  </si>
  <si>
    <t>2711/5</t>
  </si>
  <si>
    <t>žst. Stará Boleslav</t>
  </si>
  <si>
    <t>LUŽNÁ</t>
  </si>
  <si>
    <t>Lhota pod Džbánem</t>
  </si>
  <si>
    <t>736/1</t>
  </si>
  <si>
    <t>vilim@rsm.cd.cz,725897095</t>
  </si>
  <si>
    <t>žst. Mutějovice</t>
  </si>
  <si>
    <t>Rakovník</t>
  </si>
  <si>
    <t>3858/1</t>
  </si>
  <si>
    <t>zpevněna</t>
  </si>
  <si>
    <t>žst. Rakovník</t>
  </si>
  <si>
    <t>Řevničov</t>
  </si>
  <si>
    <t>3816/2</t>
  </si>
  <si>
    <t>žst. Řevničov</t>
  </si>
  <si>
    <t>Slaný</t>
  </si>
  <si>
    <t>1415/1</t>
  </si>
  <si>
    <t>žst. Slaný</t>
  </si>
  <si>
    <t>NIŽBOR</t>
  </si>
  <si>
    <t>Kamenné Žehrovice</t>
  </si>
  <si>
    <t>833/1</t>
  </si>
  <si>
    <t>žst. Kamenné Žehrovice</t>
  </si>
  <si>
    <t>KŘIVOKLÁT</t>
  </si>
  <si>
    <t>Roztoky u Křivoklátu</t>
  </si>
  <si>
    <t>601/10</t>
  </si>
  <si>
    <t>žst. Roztoky u Křivoklátu</t>
  </si>
  <si>
    <t>Kročehlavy</t>
  </si>
  <si>
    <t>3293/14</t>
  </si>
  <si>
    <t>žst. Kladno</t>
  </si>
  <si>
    <t>Nučice u Rudné</t>
  </si>
  <si>
    <t>1117/7</t>
  </si>
  <si>
    <t>žst. Nučice u Rudné</t>
  </si>
  <si>
    <t>Zdice</t>
  </si>
  <si>
    <t>1990/1</t>
  </si>
  <si>
    <t>žst. Zdice</t>
  </si>
  <si>
    <t>Kácov</t>
  </si>
  <si>
    <t>žst. Kácov</t>
  </si>
  <si>
    <t>Trhový Štěpánov</t>
  </si>
  <si>
    <t>999/1</t>
  </si>
  <si>
    <t>žst. Trhový Štěpánov</t>
  </si>
  <si>
    <t>Vlašim</t>
  </si>
  <si>
    <t>2422/2</t>
  </si>
  <si>
    <t>žst. Vlašim</t>
  </si>
  <si>
    <t>Uhlířské Janovice</t>
  </si>
  <si>
    <t>žst. Uhlířské Janovice</t>
  </si>
  <si>
    <t>Kralovice u Rakovníka</t>
  </si>
  <si>
    <t>5612/1</t>
  </si>
  <si>
    <t>žst. Kralovice u Rakovníka</t>
  </si>
  <si>
    <t>Říčany u Prahy</t>
  </si>
  <si>
    <t>1766/1</t>
  </si>
  <si>
    <t>JUDr. Čižinský, tel. 225776868, zdenek.cizinsky@uzsvm.cz</t>
  </si>
  <si>
    <t>areál býv. Věznice, připravuje se převod na ŘSDa Policii ČR</t>
  </si>
  <si>
    <t>Hořátev</t>
  </si>
  <si>
    <t>1183/1</t>
  </si>
  <si>
    <t>Úvaly u Prahy</t>
  </si>
  <si>
    <t>2937/1</t>
  </si>
  <si>
    <t>2901/2</t>
  </si>
  <si>
    <t>Čistá u Rakovníka</t>
  </si>
  <si>
    <t>189/1</t>
  </si>
  <si>
    <t>Čistá elektřina do  do 3,6 kW.</t>
  </si>
  <si>
    <t>Středočeský kraj</t>
  </si>
  <si>
    <t>Žatec</t>
  </si>
  <si>
    <t>Vroutek</t>
  </si>
  <si>
    <t>3427/41</t>
  </si>
  <si>
    <t>1702/13; 1702/61; 1702/64</t>
  </si>
  <si>
    <t>Trnovany</t>
  </si>
  <si>
    <t>800/1; 1182/1; 995/1</t>
  </si>
  <si>
    <t>Chomutov I</t>
  </si>
  <si>
    <t>3775/1, 3793/1</t>
  </si>
  <si>
    <t>tomasu@rsm.cd.cz, 724834738</t>
  </si>
  <si>
    <t>Chomutov</t>
  </si>
  <si>
    <t>DĚČÍN</t>
  </si>
  <si>
    <t>Děčín</t>
  </si>
  <si>
    <t>3022/1</t>
  </si>
  <si>
    <t>kreutzer@rsm.cd.cz, 602100947</t>
  </si>
  <si>
    <t>Děčín východ</t>
  </si>
  <si>
    <t>RUMBURK</t>
  </si>
  <si>
    <t>Rumburk</t>
  </si>
  <si>
    <t>2928/9</t>
  </si>
  <si>
    <t>Radešín u Lipové</t>
  </si>
  <si>
    <t xml:space="preserve">silnice </t>
  </si>
  <si>
    <t>nepronajímáme</t>
  </si>
  <si>
    <t>ÚZSVM
OHMS ÚP Ústí nad Labem</t>
  </si>
  <si>
    <t>alena.kostovicova@uzsvm.cz  
tel. 416 921 525</t>
  </si>
  <si>
    <t>Areál včetně staveb připraven k prodeji</t>
  </si>
  <si>
    <t>Kovářská</t>
  </si>
  <si>
    <t>990/1</t>
  </si>
  <si>
    <t>ihned - 2019/20</t>
  </si>
  <si>
    <t>Karel Gyurjan</t>
  </si>
  <si>
    <t>Gyurjan@szdc.cz, 972 425 609</t>
  </si>
  <si>
    <t>Kovářská (max.do 2019/20-prodej) Elektřina možné zařídit přípojku</t>
  </si>
  <si>
    <t>Budyně nad Ohří</t>
  </si>
  <si>
    <t>1491/1</t>
  </si>
  <si>
    <t>Eva Faltová</t>
  </si>
  <si>
    <t>Faltova@szdc.cz, 972 424 513</t>
  </si>
  <si>
    <t>Budyně nad Ohří. Elektřina možné zařídit přípojku</t>
  </si>
  <si>
    <t>Dolní Poustevna</t>
  </si>
  <si>
    <t>265/3</t>
  </si>
  <si>
    <t>Faltova@szdc.cz, 972 424 514</t>
  </si>
  <si>
    <t>Dolní Poustevna Elektřina možné zařídit přípojku</t>
  </si>
  <si>
    <t>Mikulášovice</t>
  </si>
  <si>
    <t>5874/3</t>
  </si>
  <si>
    <t>Faltova@szdc.cz, 972 424 516</t>
  </si>
  <si>
    <t>Mikulášovice dolní Elektřina možné zařídit přípojku</t>
  </si>
  <si>
    <t>Horní Studenec</t>
  </si>
  <si>
    <t>550/26</t>
  </si>
  <si>
    <t>pronajato Stora Enso</t>
  </si>
  <si>
    <t>550/25</t>
  </si>
  <si>
    <t>550/3</t>
  </si>
  <si>
    <t>550/21</t>
  </si>
  <si>
    <t>Ždírec nad Doubravou</t>
  </si>
  <si>
    <t>275/14</t>
  </si>
  <si>
    <t>Třebíč</t>
  </si>
  <si>
    <t>Okříšky, Nové Petrovice</t>
  </si>
  <si>
    <t>607/9, 278/11</t>
  </si>
  <si>
    <t>TŘEBÍČ</t>
  </si>
  <si>
    <t>Jaroměřice nad Rokytnou</t>
  </si>
  <si>
    <t>414/11</t>
  </si>
  <si>
    <t>žst.Jaroměřice n.R.</t>
  </si>
  <si>
    <t>Kojetice na Moravě</t>
  </si>
  <si>
    <t>400/5</t>
  </si>
  <si>
    <t>žst.Kojetice</t>
  </si>
  <si>
    <t>Moravské Budějovice</t>
  </si>
  <si>
    <t>1682/1</t>
  </si>
  <si>
    <t>žst.Mor.Budějovice</t>
  </si>
  <si>
    <t>TELČ</t>
  </si>
  <si>
    <t>Horní Cerekev</t>
  </si>
  <si>
    <t>2636/1</t>
  </si>
  <si>
    <t>žst.Horní Cerekev,částečně využívá SŽDC</t>
  </si>
  <si>
    <t>Okříšky</t>
  </si>
  <si>
    <t>607/9</t>
  </si>
  <si>
    <t>žst.Okříšky</t>
  </si>
  <si>
    <t>NOVÉ MĚSTO NA MORAVĚ</t>
  </si>
  <si>
    <t>Kozlov u Křižanova</t>
  </si>
  <si>
    <t>959/1</t>
  </si>
  <si>
    <t>žst.Křižanov</t>
  </si>
  <si>
    <t>Humpolec</t>
  </si>
  <si>
    <t>2544/1</t>
  </si>
  <si>
    <t>žst.Humpolec</t>
  </si>
  <si>
    <t>Ledeč nad Sázavou</t>
  </si>
  <si>
    <t>2310/6</t>
  </si>
  <si>
    <t>žst.Ledeč n.S.</t>
  </si>
  <si>
    <t>Přibyslav</t>
  </si>
  <si>
    <t>1828/1</t>
  </si>
  <si>
    <t>žst.Přibyslav</t>
  </si>
  <si>
    <t>Nová Cerekev</t>
  </si>
  <si>
    <t>2058/6</t>
  </si>
  <si>
    <t>žst.Nová Cerekev</t>
  </si>
  <si>
    <t>Pelhřimov</t>
  </si>
  <si>
    <t>3496/37</t>
  </si>
  <si>
    <t>žst.Pelhřimov</t>
  </si>
  <si>
    <t>ČR - SSHR</t>
  </si>
  <si>
    <t>Budišov</t>
  </si>
  <si>
    <t>4608/1</t>
  </si>
  <si>
    <t xml:space="preserve">Doležal Jaroslav </t>
  </si>
  <si>
    <t xml:space="preserve">dolezalja@szdc.cz, 972 646 834 </t>
  </si>
  <si>
    <t>dopravna D3 Budišov</t>
  </si>
  <si>
    <t>Rudíkov</t>
  </si>
  <si>
    <t>dopravna D3 Rudíkov</t>
  </si>
  <si>
    <t>Ptáčov</t>
  </si>
  <si>
    <t>1517/1</t>
  </si>
  <si>
    <t>mezistaniční úsek</t>
  </si>
  <si>
    <t>Jemnice</t>
  </si>
  <si>
    <t>2022/1</t>
  </si>
  <si>
    <t xml:space="preserve">Ježek Jiří </t>
  </si>
  <si>
    <t xml:space="preserve">jezek@szdc.cz, 972 642 834 </t>
  </si>
  <si>
    <t>dopravna D3 Jemnice</t>
  </si>
  <si>
    <t>Vsetín</t>
  </si>
  <si>
    <t>Jablůnka</t>
  </si>
  <si>
    <t>1340/2</t>
  </si>
  <si>
    <t>pronajato Kotrla a.s.</t>
  </si>
  <si>
    <t>ROŽNOV POD RADHOŠTĚM</t>
  </si>
  <si>
    <t>Krásno nad Bečvou</t>
  </si>
  <si>
    <t>406/1; 406/8</t>
  </si>
  <si>
    <t>žst. Val. Meziříčí, * příjezd přes pozemky fy EFIOS s.r.o.</t>
  </si>
  <si>
    <t>LUHAČOVICE</t>
  </si>
  <si>
    <t>Kunovice</t>
  </si>
  <si>
    <t>3859/6</t>
  </si>
  <si>
    <t>oboji</t>
  </si>
  <si>
    <t>ŽST Kunovice</t>
  </si>
  <si>
    <t>Rožnov pod Radhoštěm</t>
  </si>
  <si>
    <t>1000/1</t>
  </si>
  <si>
    <t>Bojkovice</t>
  </si>
  <si>
    <t>5442/7</t>
  </si>
  <si>
    <t>ŽST Bojkovice</t>
  </si>
  <si>
    <t>Bylnice</t>
  </si>
  <si>
    <t>1266/2</t>
  </si>
  <si>
    <t>ŽST Bylnice</t>
  </si>
  <si>
    <t>Slavičín</t>
  </si>
  <si>
    <t>2583/4</t>
  </si>
  <si>
    <t>ŽST Slavičín</t>
  </si>
  <si>
    <t>Ostrožská Nová Ves</t>
  </si>
  <si>
    <t>4554/2</t>
  </si>
  <si>
    <t>ŽST Ostrožská Nová Ves</t>
  </si>
  <si>
    <t>Uherský Ostroh</t>
  </si>
  <si>
    <t>3591/9</t>
  </si>
  <si>
    <t>Hustopeče nad Bečvou</t>
  </si>
  <si>
    <t>1194/1</t>
  </si>
  <si>
    <t>Velké Karlovice</t>
  </si>
  <si>
    <t>8387/1</t>
  </si>
  <si>
    <t>Pončík Libor</t>
  </si>
  <si>
    <t>Poncik@szdc.cz, 602 264 108</t>
  </si>
  <si>
    <t>Valašské Klobouky</t>
  </si>
  <si>
    <t>4437/2</t>
  </si>
  <si>
    <t>Kopecký Ladislav</t>
  </si>
  <si>
    <t>Kopecky@szdc.cz, 724 484 928</t>
  </si>
  <si>
    <t>Valašské Klobouky, uzaviratelná brána</t>
  </si>
  <si>
    <t>BUCHLOVICE</t>
  </si>
  <si>
    <t>Zdounky</t>
  </si>
  <si>
    <t>1015/1</t>
  </si>
  <si>
    <t>Folta Josef</t>
  </si>
  <si>
    <t>Katalog ploch vhodných pro skladování dřeva</t>
  </si>
  <si>
    <t>Zpracovalo Ministerstvo zemědělství, Sekce lesního hospodářství</t>
  </si>
  <si>
    <t>Plocha (ha):</t>
  </si>
  <si>
    <r>
      <t>Kapacita (m</t>
    </r>
    <r>
      <rPr>
        <b/>
        <vertAlign val="superscript"/>
        <sz val="11"/>
        <color indexed="8"/>
        <rFont val="Calibri"/>
        <family val="2"/>
        <charset val="238"/>
      </rPr>
      <t>3</t>
    </r>
    <r>
      <rPr>
        <b/>
        <sz val="11"/>
        <color indexed="8"/>
        <rFont val="Calibri"/>
        <family val="2"/>
        <charset val="238"/>
      </rPr>
      <t>):</t>
    </r>
  </si>
  <si>
    <t>Zkratky:</t>
  </si>
  <si>
    <t>Vlastníci ploch:</t>
  </si>
  <si>
    <t>Adresa:</t>
  </si>
  <si>
    <t>Úřad pro zastupování státu ve věcech majetkových</t>
  </si>
  <si>
    <t>Rašínovo nábřeží 390/42, 128 00 Praha 2</t>
  </si>
  <si>
    <t>Státní pozemkový úřad</t>
  </si>
  <si>
    <t>Husinecká 1024/11a,  130 00 Praha 3 - Žižkov</t>
  </si>
  <si>
    <t>Správa státních hmotných rezerv</t>
  </si>
  <si>
    <t xml:space="preserve">Šeříková 616/1, 150 85 Praha 5 Malá Strana </t>
  </si>
  <si>
    <t>České dráhy, a.s., Regionální správa majetku Praha</t>
  </si>
  <si>
    <t>Prvního Pluku 81/2A, Praha 3, 130 00, kontakt : PHAsek@rsm.cd.cz, tel. 972 226 153, 725 752 153</t>
  </si>
  <si>
    <t>České dráhy, a.s., Regionální správa majetku Brno</t>
  </si>
  <si>
    <t>Kounicova 688/26, Brno, 611 43, kontakt : BNOsek@rsm.cd.cz, tel. 972 621 064, 727 936 722</t>
  </si>
  <si>
    <t>České dráhy, a.s., Regionální správa majetku Hradec Králové</t>
  </si>
  <si>
    <t>Riegrovo náměstí 914/2 Hradec Králové, 500 02, kontakt : HKRsek@rsm.cd.cz, tel. 972 341 020, 724 759 550</t>
  </si>
  <si>
    <t xml:space="preserve"> --- </t>
  </si>
  <si>
    <t xml:space="preserve">Agentura hospodaření s nemovitým majetkem Ministerstva obrany - Oddělení územní správy nemovitého majetku Brno </t>
  </si>
  <si>
    <t>Svatoplukova 2687/84, 61500 Brno-Židenice</t>
  </si>
  <si>
    <t>Vysvětlivky:</t>
  </si>
  <si>
    <t xml:space="preserve">výp. lh. </t>
  </si>
  <si>
    <t xml:space="preserve"> = výpovědní lhůta</t>
  </si>
  <si>
    <t>Asental Land s.r.o.</t>
  </si>
  <si>
    <t>SJUKO s.r.o.</t>
  </si>
  <si>
    <t>Dolanka Logistik s.r.o.</t>
  </si>
  <si>
    <t>Fatra, a.s.</t>
  </si>
  <si>
    <t>Magdaléna Kučerová</t>
  </si>
  <si>
    <t>Vítkovice a.s.</t>
  </si>
  <si>
    <t>Karviná - Doly</t>
  </si>
  <si>
    <t>4401/1</t>
  </si>
  <si>
    <t>nezpevněná (po rekultivaci)</t>
  </si>
  <si>
    <t>nezjištěno</t>
  </si>
  <si>
    <t>na vyžádání</t>
  </si>
  <si>
    <t>ihned, do 31.12.2019</t>
  </si>
  <si>
    <t>Marcela Tomášková</t>
  </si>
  <si>
    <t>marcela.tomaskova@asental.eu, 601 566 020</t>
  </si>
  <si>
    <t>Orlová</t>
  </si>
  <si>
    <t>Prostřední Suchá</t>
  </si>
  <si>
    <t>752/3</t>
  </si>
  <si>
    <t xml:space="preserve">Bystřice pod Hostýnem </t>
  </si>
  <si>
    <t>459/39</t>
  </si>
  <si>
    <t>Petr Zerhau</t>
  </si>
  <si>
    <t>zerhau@lavimont.cz, 602 345 684</t>
  </si>
  <si>
    <t>Hovězí</t>
  </si>
  <si>
    <t>160 - 200</t>
  </si>
  <si>
    <t>ihned, do 1.12.2035</t>
  </si>
  <si>
    <t>Mgr. Tomáš Bayer</t>
  </si>
  <si>
    <t>tomas.bayer@dolanlogistik.cz, 737 345 676</t>
  </si>
  <si>
    <t>1106/1</t>
  </si>
  <si>
    <t>dle dohody</t>
  </si>
  <si>
    <t>ihned, do 31.12.2020</t>
  </si>
  <si>
    <t>Ing. Jaromír Žůrek</t>
  </si>
  <si>
    <t>jaromir.zurek@fatra.cz, 724 405 929</t>
  </si>
  <si>
    <t>Radouňka</t>
  </si>
  <si>
    <t>704/1, 657/3, 657/4</t>
  </si>
  <si>
    <t>Karel Jerolímek</t>
  </si>
  <si>
    <t>kareljarolimek@seznam.cz, +420 728 082 628</t>
  </si>
  <si>
    <t>možný také prodej celé lokality</t>
  </si>
  <si>
    <t>Hrabová</t>
  </si>
  <si>
    <t>1442/3, 1616/1, 1616/3, 1616/4, 1616/8, 1616/9, 1616/10, 1616/12, 1675/1, 1726</t>
  </si>
  <si>
    <t>Ivo Žídek</t>
  </si>
  <si>
    <t>ivo.zidek@vitkovice.cz, +420 605 416 385</t>
  </si>
  <si>
    <t>počet ploch</t>
  </si>
  <si>
    <r>
      <t>výměra (ha</t>
    </r>
    <r>
      <rPr>
        <sz val="11"/>
        <color indexed="8"/>
        <rFont val="Calibri"/>
        <family val="2"/>
        <charset val="238"/>
      </rPr>
      <t>)</t>
    </r>
  </si>
  <si>
    <r>
      <t>kapacita (m</t>
    </r>
    <r>
      <rPr>
        <vertAlign val="superscript"/>
        <sz val="9"/>
        <color indexed="8"/>
        <rFont val="Calibri"/>
        <family val="2"/>
        <charset val="238"/>
      </rPr>
      <t>3</t>
    </r>
    <r>
      <rPr>
        <sz val="11"/>
        <color indexed="8"/>
        <rFont val="Calibri"/>
        <family val="2"/>
        <charset val="238"/>
      </rPr>
      <t>)</t>
    </r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</si>
  <si>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</si>
  <si>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</si>
  <si>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</si>
  <si>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</si>
  <si>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</si>
  <si>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</si>
  <si>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</si>
  <si>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</si>
  <si>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</si>
  <si>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</si>
  <si>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</si>
  <si>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Vlastníci ploch</t>
  </si>
  <si>
    <t>Počet ploch</t>
  </si>
  <si>
    <t>Výměra (ha)</t>
  </si>
  <si>
    <r>
      <t>kapacita (m</t>
    </r>
    <r>
      <rPr>
        <vertAlign val="superscript"/>
        <sz val="11"/>
        <color indexed="8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</si>
  <si>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Podíl (%)</t>
  </si>
  <si>
    <t>Agentura hospodaření s nemovitým majetkem Ministerstva obrany</t>
  </si>
  <si>
    <t>Ostatní (privát)</t>
  </si>
  <si>
    <t xml:space="preserve">VYUŽÍTÍ PLOCHY </t>
  </si>
  <si>
    <t xml:space="preserve">VYUŽITELNÁ KAPACITA </t>
  </si>
  <si>
    <t xml:space="preserve">Upozornění na zjištěné nesrovnalosti zasílejte na: </t>
  </si>
  <si>
    <t xml:space="preserve">vlasta.knorova@mze.cz </t>
  </si>
  <si>
    <t xml:space="preserve"> = pronajato, částečně pronajato</t>
  </si>
  <si>
    <t>SUMÁŘ</t>
  </si>
  <si>
    <t>Králíky</t>
  </si>
  <si>
    <t>2730/4, 2730/3</t>
  </si>
  <si>
    <t>revitalizovaný dobývací prostor</t>
  </si>
  <si>
    <t>Bývalý dobývací prostor - částečně zalétané</t>
  </si>
  <si>
    <t>Manipulační plocha</t>
  </si>
  <si>
    <t>pronajato 1.písecká</t>
  </si>
  <si>
    <t>Bzenec</t>
  </si>
  <si>
    <t>4886/16</t>
  </si>
  <si>
    <t>Petra s.r.o</t>
  </si>
  <si>
    <t>Opočno</t>
  </si>
  <si>
    <t>1765/11, 25; 1769</t>
  </si>
  <si>
    <t>Lichkov</t>
  </si>
  <si>
    <t>1367/11</t>
  </si>
  <si>
    <t>1447/8, 1447/9</t>
  </si>
  <si>
    <t>69/1,2</t>
  </si>
  <si>
    <t>1569/11</t>
  </si>
  <si>
    <t>Chotiměř</t>
  </si>
  <si>
    <t>Třešť</t>
  </si>
  <si>
    <t>4592/11</t>
  </si>
  <si>
    <t>Světlá nad Sázavou</t>
  </si>
  <si>
    <t>1180/1</t>
  </si>
  <si>
    <t>Vladislav</t>
  </si>
  <si>
    <t>1391/1</t>
  </si>
  <si>
    <t>Stojčín</t>
  </si>
  <si>
    <t>283/1</t>
  </si>
  <si>
    <t>počet využitých ploch</t>
  </si>
  <si>
    <t>žst. Jindřichovice pod Smrkem, projednává se prodej části pozemku</t>
  </si>
  <si>
    <t>žst. Nepomuk, do 26.8. 2020</t>
  </si>
  <si>
    <t>Dolní Chrastava</t>
  </si>
  <si>
    <t>863/5</t>
  </si>
  <si>
    <t>Chrastava</t>
  </si>
  <si>
    <t>Předlánce</t>
  </si>
  <si>
    <t>71/8</t>
  </si>
  <si>
    <t>Višňová</t>
  </si>
  <si>
    <t>Mníšek u Liberce</t>
  </si>
  <si>
    <t>967/14</t>
  </si>
  <si>
    <t>6173/52 část parcely</t>
  </si>
  <si>
    <t>částečně oploceno</t>
  </si>
  <si>
    <t>Jablonec n/N</t>
  </si>
  <si>
    <t>2526/21</t>
  </si>
  <si>
    <t>Jablonec nad Nisou</t>
  </si>
  <si>
    <t>Turnov</t>
  </si>
  <si>
    <t>3890/1</t>
  </si>
  <si>
    <t>žst. Turnov</t>
  </si>
  <si>
    <t>Semily</t>
  </si>
  <si>
    <t>4145/1</t>
  </si>
  <si>
    <t>žst. Semily</t>
  </si>
  <si>
    <t>Karlovice</t>
  </si>
  <si>
    <t>824/4</t>
  </si>
  <si>
    <t>žst. Hrubá Skála</t>
  </si>
  <si>
    <t>Mnichovo Hradiště</t>
  </si>
  <si>
    <t>2700/26</t>
  </si>
  <si>
    <t>žst. Mnichovo Hradiště</t>
  </si>
  <si>
    <t>Dolní Bousov</t>
  </si>
  <si>
    <t>1893/11</t>
  </si>
  <si>
    <t>žst. Dolní Bousov</t>
  </si>
  <si>
    <t>Březová pod Bezdězem</t>
  </si>
  <si>
    <t>689/2</t>
  </si>
  <si>
    <t>žst. Bezděz</t>
  </si>
  <si>
    <t>Jilemnice</t>
  </si>
  <si>
    <t>2254/1</t>
  </si>
  <si>
    <t>žst. Jilemnice</t>
  </si>
  <si>
    <t>většina pozemku v nájmu a v půdním bloku
po domluvě s nájemci, SPÚ je nekontaktoval, k využití cca 40% z celkové výměry</t>
  </si>
  <si>
    <t>Rokytnice v Orlických horách, prostory kasáren</t>
  </si>
  <si>
    <t>lytomyšl</t>
  </si>
  <si>
    <t>žst. Podivín</t>
  </si>
  <si>
    <t>žst. Černá Hora</t>
  </si>
  <si>
    <t>žst.Tetčice</t>
  </si>
  <si>
    <t>žst. Znojmo</t>
  </si>
  <si>
    <t>Strážnice</t>
  </si>
  <si>
    <t>3122/9</t>
  </si>
  <si>
    <t>SEŽEV - REKO, a.s.</t>
  </si>
  <si>
    <t>palka@rsm.cd.cz</t>
  </si>
  <si>
    <t>žst. Strážnice</t>
  </si>
  <si>
    <t>žst. Šumná</t>
  </si>
  <si>
    <t>žst. Hrušovany nad Jevišovkou</t>
  </si>
  <si>
    <t>žst. Moravské Bránice</t>
  </si>
  <si>
    <t>žst. Šebetov</t>
  </si>
  <si>
    <t>žst. Blažovice</t>
  </si>
  <si>
    <t>žst. Bzenec</t>
  </si>
  <si>
    <t>machac@rsm.cd.cz</t>
  </si>
  <si>
    <t>žst. Louky nad Olší</t>
  </si>
  <si>
    <t>405/14</t>
  </si>
  <si>
    <t>žsz. Jeseník</t>
  </si>
  <si>
    <t>žst. Písečná</t>
  </si>
  <si>
    <t>žst. Šternberk</t>
  </si>
  <si>
    <t>žst. Lukavice na Moravě</t>
  </si>
  <si>
    <t>ŽST Vápenná,horší přístupová cesta</t>
  </si>
  <si>
    <t>ŽST Žulová,</t>
  </si>
  <si>
    <t>Částečně využívá SŽ s.o.</t>
  </si>
  <si>
    <t>660/1</t>
  </si>
  <si>
    <t>polak@rsm.cd.cz</t>
  </si>
  <si>
    <t>833/1; 833/3</t>
  </si>
  <si>
    <t>žst. Horní Studenec</t>
  </si>
  <si>
    <t>žst. Ždírec nad Doubravou</t>
  </si>
  <si>
    <t>žst. Okřížky</t>
  </si>
  <si>
    <t>žst. Třešť</t>
  </si>
  <si>
    <t>žst. Světlá nad Svitavou</t>
  </si>
  <si>
    <t>žst. Vladislav</t>
  </si>
  <si>
    <t>žst. Stojčín</t>
  </si>
  <si>
    <t>žst. Jablůnka</t>
  </si>
  <si>
    <t xml:space="preserve">ŽST Rožnov pod Radhoštěm, </t>
  </si>
  <si>
    <t>žst. Hustopeče nad Bečvou,  částečně využito Strabag Rail, a.s.</t>
  </si>
  <si>
    <t>žst. Uherský Ostroh, částečný pronájem pro uskladnění dřeva</t>
  </si>
  <si>
    <t xml:space="preserve">ne </t>
  </si>
  <si>
    <t>dle předchozí dohody</t>
  </si>
  <si>
    <t xml:space="preserve"> plhak@rsm.cd.cz, 724791421</t>
  </si>
  <si>
    <r>
      <t>výměra 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reálně využitelná pro skladování dříví</t>
    </r>
  </si>
  <si>
    <r>
      <t>nájemné za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/rok (Kč)</t>
    </r>
  </si>
  <si>
    <r>
      <t>VYUŽITELNÁ KAPACITA  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</si>
  <si>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>VZUŽITÁ KAPACITA 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</si>
  <si>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>VYUŽITO ZA KRAJ CELKEM 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</si>
  <si>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VÝMĚRA ZA KRAJ (m2)</t>
  </si>
  <si>
    <r>
      <t xml:space="preserve">Hořátev, aktuálně uložen materiál SŽDC elektřina do  do 3,6 kW </t>
    </r>
    <r>
      <rPr>
        <b/>
        <sz val="10"/>
        <rFont val="Arial"/>
        <family val="2"/>
        <charset val="238"/>
      </rPr>
      <t xml:space="preserve">kontakt min. 14 dní předem.
 p. Eichler Jaroslav, t.č. 725 547 695, EichlerJa@spravazeleznic.cz </t>
    </r>
    <r>
      <rPr>
        <sz val="10"/>
        <rFont val="Arial"/>
        <family val="2"/>
        <charset val="238"/>
      </rPr>
      <t xml:space="preserve">
</t>
    </r>
  </si>
  <si>
    <r>
      <t xml:space="preserve">Úvaly elektřina do  do 3,6 kW. </t>
    </r>
    <r>
      <rPr>
        <b/>
        <sz val="10"/>
        <rFont val="Arial"/>
        <family val="2"/>
        <charset val="238"/>
      </rPr>
      <t xml:space="preserve">Kontakt min. 14 dní předem p. Vichera Petr, t.č. 724 509 216, Vichera@spravazeleznic.cz </t>
    </r>
  </si>
  <si>
    <r>
      <t xml:space="preserve">Úvaly elektřina do  do 3,6 kW., </t>
    </r>
    <r>
      <rPr>
        <b/>
        <sz val="10"/>
        <rFont val="Arial"/>
        <family val="2"/>
        <charset val="238"/>
      </rPr>
      <t xml:space="preserve">Kontakt min. 14 dní předem p. Vichera Petr, t.č. 724 509 216, Vichera@spravazeleznic.cz  </t>
    </r>
  </si>
  <si>
    <t>po dohodě/doba uskladnění max. 2 týdny</t>
  </si>
  <si>
    <t>ihned/doba uskladnění max. 2 týdny</t>
  </si>
  <si>
    <t xml:space="preserve">Ing. Mgr. Jitka Losová </t>
  </si>
  <si>
    <t>602 677 940;  losova@spravazeleznic.cz</t>
  </si>
  <si>
    <t>Správa železnic,státní organizace</t>
  </si>
  <si>
    <t>SŽ, s.o.</t>
  </si>
  <si>
    <t>SŽ s.o.</t>
  </si>
  <si>
    <t xml:space="preserve">Partyzánská 1504/24, 170 00 Praha 7 </t>
  </si>
  <si>
    <t>Aktualizace: 28.2.2022</t>
  </si>
  <si>
    <t>využitá plocha (ha)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</si>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</sst>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\ _K_č_-;\-* #,##0.00\ _K_č_-;_-* &quot;-&quot;??\ _K_č_-;_-@_-"/>
    <numFmt numFmtId="165" formatCode="_-* #,##0\ _K_č_-;\-* #,##0\ _K_č_-;_-* &quot;-&quot;??\ _K_č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9"/>
      <color indexed="8"/>
      <name val="Calibri"/>
      <family val="2"/>
      <charset val="238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vertAlign val="superscript"/>
      <sz val="11"/>
      <color indexed="8"/>
      <name val="Calibri"/>
      <family val="2"/>
      <charset val="238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2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4406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5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4" xfId="0" applyFont="1" applyBorder="1"/>
    <xf numFmtId="0" fontId="2" fillId="0" borderId="5" xfId="0" applyFont="1" applyBorder="1"/>
    <xf numFmtId="164" fontId="2" fillId="0" borderId="5" xfId="1" applyFon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4" borderId="3" xfId="0" applyFill="1" applyBorder="1"/>
    <xf numFmtId="9" fontId="11" fillId="0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3" xfId="4" applyFont="1" applyFill="1" applyBorder="1" applyAlignment="1" applyProtection="1">
      <alignment horizontal="center" vertical="center" wrapText="1" shrinkToFit="1"/>
    </xf>
    <xf numFmtId="0" fontId="3" fillId="0" borderId="3" xfId="4" applyFont="1" applyFill="1" applyBorder="1" applyAlignment="1" applyProtection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3" fontId="3" fillId="0" borderId="3" xfId="4" applyNumberFormat="1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1" fillId="5" borderId="3" xfId="0" applyFont="1" applyFill="1" applyBorder="1"/>
    <xf numFmtId="0" fontId="0" fillId="0" borderId="3" xfId="0" applyBorder="1"/>
    <xf numFmtId="2" fontId="0" fillId="0" borderId="3" xfId="0" applyNumberFormat="1" applyBorder="1"/>
    <xf numFmtId="165" fontId="13" fillId="0" borderId="3" xfId="1" applyNumberFormat="1" applyFont="1" applyBorder="1"/>
    <xf numFmtId="0" fontId="14" fillId="0" borderId="0" xfId="0" applyFont="1" applyAlignment="1">
      <alignment horizontal="left" vertical="center"/>
    </xf>
    <xf numFmtId="0" fontId="1" fillId="6" borderId="3" xfId="0" applyFont="1" applyFill="1" applyBorder="1"/>
    <xf numFmtId="2" fontId="0" fillId="6" borderId="3" xfId="0" applyNumberFormat="1" applyFill="1" applyBorder="1"/>
    <xf numFmtId="165" fontId="13" fillId="6" borderId="3" xfId="1" applyNumberFormat="1" applyFont="1" applyFill="1" applyBorder="1" applyAlignment="1">
      <alignment horizontal="right"/>
    </xf>
    <xf numFmtId="0" fontId="0" fillId="0" borderId="3" xfId="0" applyBorder="1" applyAlignment="1">
      <alignment horizontal="left" wrapText="1"/>
    </xf>
    <xf numFmtId="0" fontId="0" fillId="6" borderId="3" xfId="0" applyFill="1" applyBorder="1"/>
    <xf numFmtId="0" fontId="16" fillId="5" borderId="3" xfId="0" applyFont="1" applyFill="1" applyBorder="1" applyAlignment="1">
      <alignment horizontal="center"/>
    </xf>
    <xf numFmtId="164" fontId="0" fillId="0" borderId="0" xfId="0" applyNumberFormat="1"/>
    <xf numFmtId="164" fontId="17" fillId="0" borderId="4" xfId="1" applyFont="1" applyBorder="1" applyAlignment="1">
      <alignment horizontal="right"/>
    </xf>
    <xf numFmtId="0" fontId="0" fillId="0" borderId="3" xfId="0" applyFill="1" applyBorder="1"/>
    <xf numFmtId="2" fontId="0" fillId="0" borderId="3" xfId="0" applyNumberFormat="1" applyFill="1" applyBorder="1"/>
    <xf numFmtId="0" fontId="0" fillId="0" borderId="3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0" borderId="0" xfId="0" applyFont="1" applyFill="1"/>
    <xf numFmtId="0" fontId="4" fillId="0" borderId="0" xfId="4"/>
    <xf numFmtId="0" fontId="0" fillId="0" borderId="0" xfId="0" applyFill="1" applyBorder="1"/>
    <xf numFmtId="0" fontId="2" fillId="5" borderId="3" xfId="0" applyFont="1" applyFill="1" applyBorder="1"/>
    <xf numFmtId="41" fontId="0" fillId="0" borderId="3" xfId="6" applyFont="1" applyBorder="1"/>
    <xf numFmtId="41" fontId="0" fillId="6" borderId="3" xfId="6" applyFont="1" applyFill="1" applyBorder="1"/>
    <xf numFmtId="9" fontId="11" fillId="0" borderId="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3" fillId="0" borderId="11" xfId="4" applyFont="1" applyFill="1" applyBorder="1" applyAlignment="1" applyProtection="1">
      <alignment horizontal="center" vertical="center" wrapText="1" shrinkToFit="1"/>
    </xf>
    <xf numFmtId="9" fontId="11" fillId="0" borderId="11" xfId="2" applyFont="1" applyFill="1" applyBorder="1" applyAlignment="1">
      <alignment horizontal="center" vertical="center" wrapText="1"/>
    </xf>
    <xf numFmtId="9" fontId="11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9" fontId="11" fillId="0" borderId="16" xfId="2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4" applyFont="1" applyFill="1" applyBorder="1" applyAlignment="1" applyProtection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2" fillId="0" borderId="3" xfId="4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9" fontId="11" fillId="0" borderId="9" xfId="2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22" fillId="0" borderId="3" xfId="4" applyFont="1" applyFill="1" applyBorder="1" applyAlignment="1" applyProtection="1">
      <alignment horizontal="center" vertical="center" wrapText="1" shrinkToFit="1"/>
    </xf>
    <xf numFmtId="9" fontId="11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2" fillId="0" borderId="3" xfId="4" applyFont="1" applyFill="1" applyBorder="1" applyAlignment="1">
      <alignment horizontal="center" vertical="center" wrapText="1"/>
    </xf>
    <xf numFmtId="12" fontId="3" fillId="0" borderId="3" xfId="1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9" fontId="21" fillId="0" borderId="3" xfId="2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9" fontId="21" fillId="0" borderId="16" xfId="2" applyFont="1" applyFill="1" applyBorder="1" applyAlignment="1">
      <alignment horizontal="center" vertical="center" wrapText="1"/>
    </xf>
    <xf numFmtId="9" fontId="21" fillId="0" borderId="3" xfId="0" applyNumberFormat="1" applyFont="1" applyFill="1" applyBorder="1" applyAlignment="1">
      <alignment horizontal="center" vertical="center" wrapText="1"/>
    </xf>
    <xf numFmtId="9" fontId="21" fillId="0" borderId="16" xfId="0" applyNumberFormat="1" applyFont="1" applyFill="1" applyBorder="1" applyAlignment="1">
      <alignment horizontal="center" vertical="center" wrapText="1"/>
    </xf>
    <xf numFmtId="0" fontId="22" fillId="0" borderId="16" xfId="4" applyFont="1" applyFill="1" applyBorder="1" applyAlignment="1" applyProtection="1">
      <alignment horizontal="center" vertical="center" wrapText="1"/>
    </xf>
    <xf numFmtId="0" fontId="22" fillId="0" borderId="11" xfId="4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0" fontId="22" fillId="0" borderId="23" xfId="4" applyFont="1" applyFill="1" applyBorder="1" applyAlignment="1" applyProtection="1">
      <alignment horizontal="center" vertical="center" wrapText="1"/>
    </xf>
    <xf numFmtId="9" fontId="11" fillId="0" borderId="23" xfId="2" applyFont="1" applyFill="1" applyBorder="1" applyAlignment="1">
      <alignment horizontal="center" vertical="center" wrapText="1"/>
    </xf>
    <xf numFmtId="9" fontId="11" fillId="0" borderId="2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4" applyFont="1" applyFill="1" applyBorder="1" applyAlignment="1" applyProtection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9" fontId="11" fillId="0" borderId="25" xfId="2" applyFont="1" applyFill="1" applyBorder="1" applyAlignment="1">
      <alignment horizontal="center" vertical="center" wrapText="1"/>
    </xf>
    <xf numFmtId="9" fontId="11" fillId="0" borderId="25" xfId="0" applyNumberFormat="1" applyFont="1" applyFill="1" applyBorder="1" applyAlignment="1">
      <alignment horizontal="center" vertical="center" wrapText="1"/>
    </xf>
    <xf numFmtId="9" fontId="11" fillId="0" borderId="8" xfId="0" applyNumberFormat="1" applyFont="1" applyFill="1" applyBorder="1" applyAlignment="1">
      <alignment horizontal="center" vertical="center" wrapText="1"/>
    </xf>
    <xf numFmtId="0" fontId="3" fillId="0" borderId="23" xfId="4" applyFont="1" applyFill="1" applyBorder="1" applyAlignment="1" applyProtection="1">
      <alignment horizontal="center" vertical="center" wrapText="1" shrinkToFit="1"/>
    </xf>
    <xf numFmtId="0" fontId="11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6" fillId="5" borderId="7" xfId="0" applyFont="1" applyFill="1" applyBorder="1" applyAlignment="1">
      <alignment horizontal="center" vertical="top"/>
    </xf>
    <xf numFmtId="0" fontId="16" fillId="5" borderId="8" xfId="0" applyFont="1" applyFill="1" applyBorder="1" applyAlignment="1">
      <alignment horizontal="center" vertical="top"/>
    </xf>
    <xf numFmtId="0" fontId="16" fillId="5" borderId="3" xfId="0" applyFont="1" applyFill="1" applyBorder="1" applyAlignment="1">
      <alignment horizontal="center"/>
    </xf>
    <xf numFmtId="0" fontId="25" fillId="0" borderId="27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0" fillId="5" borderId="3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0" fillId="5" borderId="3" xfId="0" applyNumberFormat="1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9" fontId="0" fillId="0" borderId="3" xfId="2" applyFont="1" applyBorder="1" applyAlignment="1">
      <alignment horizontal="center"/>
    </xf>
  </cellXfs>
  <cellStyles count="8">
    <cellStyle name="Čárka" xfId="1" builtinId="3"/>
    <cellStyle name="Čárky bez des. míst" xfId="6" builtinId="6"/>
    <cellStyle name="Čárky bez des. míst 2" xfId="7" xr:uid="{00000000-0005-0000-0000-000002000000}"/>
    <cellStyle name="Hypertextový odkaz" xfId="4" builtinId="8"/>
    <cellStyle name="Normální" xfId="0" builtinId="0"/>
    <cellStyle name="Normální 3" xfId="3" xr:uid="{00000000-0005-0000-0000-000005000000}"/>
    <cellStyle name="normální_List1" xfId="5" xr:uid="{00000000-0005-0000-0000-000006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sta.knorova@mze.cz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arcela.tomaskova@asental.eu,%20601%20566%20020" TargetMode="External"/><Relationship Id="rId18" Type="http://schemas.openxmlformats.org/officeDocument/2006/relationships/hyperlink" Target="mailto:krauskopf@rsm.cd.cz" TargetMode="External"/><Relationship Id="rId26" Type="http://schemas.openxmlformats.org/officeDocument/2006/relationships/hyperlink" Target="mailto:motyka@rsm.cd.cz" TargetMode="External"/><Relationship Id="rId39" Type="http://schemas.openxmlformats.org/officeDocument/2006/relationships/hyperlink" Target="mailto:slachta@rsm.cd.cz" TargetMode="External"/><Relationship Id="rId21" Type="http://schemas.openxmlformats.org/officeDocument/2006/relationships/hyperlink" Target="mailto:vlk@rsm.cd.cz" TargetMode="External"/><Relationship Id="rId34" Type="http://schemas.openxmlformats.org/officeDocument/2006/relationships/hyperlink" Target="mailto:dajc@rsm.cd.cz" TargetMode="External"/><Relationship Id="rId42" Type="http://schemas.openxmlformats.org/officeDocument/2006/relationships/hyperlink" Target="mailto:danek@rsm.cd.cz" TargetMode="External"/><Relationship Id="rId7" Type="http://schemas.openxmlformats.org/officeDocument/2006/relationships/hyperlink" Target="mailto:frantisek.cermak@suspk.eu,%20773776712" TargetMode="External"/><Relationship Id="rId2" Type="http://schemas.openxmlformats.org/officeDocument/2006/relationships/hyperlink" Target="mailto:d.mickova@spucr.cz%20,%20727956882" TargetMode="External"/><Relationship Id="rId16" Type="http://schemas.openxmlformats.org/officeDocument/2006/relationships/hyperlink" Target="mailto:tomas.bayer@dolanlogistik.cz,%20737%20345%20676" TargetMode="External"/><Relationship Id="rId20" Type="http://schemas.openxmlformats.org/officeDocument/2006/relationships/hyperlink" Target="mailto:palka@rsm.cd.cz" TargetMode="External"/><Relationship Id="rId29" Type="http://schemas.openxmlformats.org/officeDocument/2006/relationships/hyperlink" Target="mailto:polak@rsm.cd.cz" TargetMode="External"/><Relationship Id="rId41" Type="http://schemas.openxmlformats.org/officeDocument/2006/relationships/hyperlink" Target="mailto:kudelat@rsm.cd.cz" TargetMode="External"/><Relationship Id="rId1" Type="http://schemas.openxmlformats.org/officeDocument/2006/relationships/hyperlink" Target="mailto:i.jurcova@spucr.cz;%20727/956%20714" TargetMode="External"/><Relationship Id="rId6" Type="http://schemas.openxmlformats.org/officeDocument/2006/relationships/hyperlink" Target="mailto:frantisek.cermak@suspk.eu,%20773776712" TargetMode="External"/><Relationship Id="rId11" Type="http://schemas.openxmlformats.org/officeDocument/2006/relationships/hyperlink" Target="mailto:marcela.tomaskova@asental.eu,%20601%20566%20020" TargetMode="External"/><Relationship Id="rId24" Type="http://schemas.openxmlformats.org/officeDocument/2006/relationships/hyperlink" Target="mailto:danek@rsm.cd.cz" TargetMode="External"/><Relationship Id="rId32" Type="http://schemas.openxmlformats.org/officeDocument/2006/relationships/hyperlink" Target="mailto:motyka@rsm.cd.cz" TargetMode="External"/><Relationship Id="rId37" Type="http://schemas.openxmlformats.org/officeDocument/2006/relationships/hyperlink" Target="mailto:dajc@rsm.cd.cz" TargetMode="External"/><Relationship Id="rId40" Type="http://schemas.openxmlformats.org/officeDocument/2006/relationships/hyperlink" Target="mailto:dajc@rsm.cd.cz" TargetMode="External"/><Relationship Id="rId5" Type="http://schemas.openxmlformats.org/officeDocument/2006/relationships/hyperlink" Target="mailto:jana.horakova@uzsvm.cz,%20737%20281%20460" TargetMode="External"/><Relationship Id="rId15" Type="http://schemas.openxmlformats.org/officeDocument/2006/relationships/hyperlink" Target="mailto:zerhau@lavimont.cz,%20602%20345%20684" TargetMode="External"/><Relationship Id="rId23" Type="http://schemas.openxmlformats.org/officeDocument/2006/relationships/hyperlink" Target="mailto:danek@rsm.cd.cz" TargetMode="External"/><Relationship Id="rId28" Type="http://schemas.openxmlformats.org/officeDocument/2006/relationships/hyperlink" Target="mailto:motyka@rsm.cd.cz" TargetMode="External"/><Relationship Id="rId36" Type="http://schemas.openxmlformats.org/officeDocument/2006/relationships/hyperlink" Target="mailto:dajc@rsm.cd.cz" TargetMode="External"/><Relationship Id="rId10" Type="http://schemas.openxmlformats.org/officeDocument/2006/relationships/hyperlink" Target="mailto:ivana.meniecova@suspk.eu,%20775430484" TargetMode="External"/><Relationship Id="rId19" Type="http://schemas.openxmlformats.org/officeDocument/2006/relationships/hyperlink" Target="mailto:palka@rsm.cd.cz" TargetMode="External"/><Relationship Id="rId31" Type="http://schemas.openxmlformats.org/officeDocument/2006/relationships/hyperlink" Target="mailto:motyka@rsm.cd.cz" TargetMode="External"/><Relationship Id="rId4" Type="http://schemas.openxmlformats.org/officeDocument/2006/relationships/hyperlink" Target="mailto:jana.horakova@uzsvm.cz,%20737%20281%20460" TargetMode="External"/><Relationship Id="rId9" Type="http://schemas.openxmlformats.org/officeDocument/2006/relationships/hyperlink" Target="mailto:vaclav.strejc@suspk.eu,%20605299715" TargetMode="External"/><Relationship Id="rId14" Type="http://schemas.openxmlformats.org/officeDocument/2006/relationships/hyperlink" Target="mailto:marcela.tomaskova@asental.eu,%20601%20566%20020" TargetMode="External"/><Relationship Id="rId22" Type="http://schemas.openxmlformats.org/officeDocument/2006/relationships/hyperlink" Target="mailto:danek@rsm.cd.cz" TargetMode="External"/><Relationship Id="rId27" Type="http://schemas.openxmlformats.org/officeDocument/2006/relationships/hyperlink" Target="mailto:motyka@rsm.cd.cz" TargetMode="External"/><Relationship Id="rId30" Type="http://schemas.openxmlformats.org/officeDocument/2006/relationships/hyperlink" Target="mailto:polak@rsm.cd.cz" TargetMode="External"/><Relationship Id="rId35" Type="http://schemas.openxmlformats.org/officeDocument/2006/relationships/hyperlink" Target="mailto:dajc@rsm.cd.cz" TargetMode="External"/><Relationship Id="rId43" Type="http://schemas.openxmlformats.org/officeDocument/2006/relationships/printerSettings" Target="../printerSettings/printerSettings2.bin"/><Relationship Id="rId8" Type="http://schemas.openxmlformats.org/officeDocument/2006/relationships/hyperlink" Target="mailto:jiri.velisek@suspk.eu%20777497809" TargetMode="External"/><Relationship Id="rId3" Type="http://schemas.openxmlformats.org/officeDocument/2006/relationships/hyperlink" Target="mailto:alena.kostovicova@uzsvm.cz%20%20tel.%20416%20921%20525" TargetMode="External"/><Relationship Id="rId12" Type="http://schemas.openxmlformats.org/officeDocument/2006/relationships/hyperlink" Target="mailto:marcela.tomaskova@asental.eu,%20601%20566%20020" TargetMode="External"/><Relationship Id="rId17" Type="http://schemas.openxmlformats.org/officeDocument/2006/relationships/hyperlink" Target="mailto:jaromir.zurek@fatra.cz,%20724%20405%20929" TargetMode="External"/><Relationship Id="rId25" Type="http://schemas.openxmlformats.org/officeDocument/2006/relationships/hyperlink" Target="mailto:danek@rsm.cd.cz" TargetMode="External"/><Relationship Id="rId33" Type="http://schemas.openxmlformats.org/officeDocument/2006/relationships/hyperlink" Target="mailto:slachta@rsm.cd.cz" TargetMode="External"/><Relationship Id="rId38" Type="http://schemas.openxmlformats.org/officeDocument/2006/relationships/hyperlink" Target="mailto:dajc@rsm.cd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tabSelected="1" workbookViewId="0">
      <selection activeCell="K29" sqref="K29"/>
    </sheetView>
  </sheetViews>
  <sheetFormatPr defaultColWidth="8.7109375" defaultRowHeight="15"/>
  <cols>
    <col min="1" max="1" width="24.7109375" customWidth="1"/>
    <col min="2" max="5" width="25.7109375" customWidth="1"/>
    <col min="7" max="8" width="20.7109375" customWidth="1"/>
    <col min="9" max="9" width="10.42578125" customWidth="1"/>
    <col min="10" max="11" width="20.7109375" customWidth="1"/>
    <col min="12" max="12" width="11.85546875" customWidth="1"/>
    <col min="260" max="260" width="18.42578125" customWidth="1"/>
    <col min="261" max="261" width="45.42578125" customWidth="1"/>
    <col min="262" max="262" width="46.140625" customWidth="1"/>
    <col min="516" max="516" width="18.42578125" customWidth="1"/>
    <col min="517" max="517" width="45.42578125" customWidth="1"/>
    <col min="518" max="518" width="46.140625" customWidth="1"/>
    <col min="772" max="772" width="18.42578125" customWidth="1"/>
    <col min="773" max="773" width="45.42578125" customWidth="1"/>
    <col min="774" max="774" width="46.140625" customWidth="1"/>
    <col min="1028" max="1028" width="18.42578125" customWidth="1"/>
    <col min="1029" max="1029" width="45.42578125" customWidth="1"/>
    <col min="1030" max="1030" width="46.140625" customWidth="1"/>
    <col min="1284" max="1284" width="18.42578125" customWidth="1"/>
    <col min="1285" max="1285" width="45.42578125" customWidth="1"/>
    <col min="1286" max="1286" width="46.140625" customWidth="1"/>
    <col min="1540" max="1540" width="18.42578125" customWidth="1"/>
    <col min="1541" max="1541" width="45.42578125" customWidth="1"/>
    <col min="1542" max="1542" width="46.140625" customWidth="1"/>
    <col min="1796" max="1796" width="18.42578125" customWidth="1"/>
    <col min="1797" max="1797" width="45.42578125" customWidth="1"/>
    <col min="1798" max="1798" width="46.140625" customWidth="1"/>
    <col min="2052" max="2052" width="18.42578125" customWidth="1"/>
    <col min="2053" max="2053" width="45.42578125" customWidth="1"/>
    <col min="2054" max="2054" width="46.140625" customWidth="1"/>
    <col min="2308" max="2308" width="18.42578125" customWidth="1"/>
    <col min="2309" max="2309" width="45.42578125" customWidth="1"/>
    <col min="2310" max="2310" width="46.140625" customWidth="1"/>
    <col min="2564" max="2564" width="18.42578125" customWidth="1"/>
    <col min="2565" max="2565" width="45.42578125" customWidth="1"/>
    <col min="2566" max="2566" width="46.140625" customWidth="1"/>
    <col min="2820" max="2820" width="18.42578125" customWidth="1"/>
    <col min="2821" max="2821" width="45.42578125" customWidth="1"/>
    <col min="2822" max="2822" width="46.140625" customWidth="1"/>
    <col min="3076" max="3076" width="18.42578125" customWidth="1"/>
    <col min="3077" max="3077" width="45.42578125" customWidth="1"/>
    <col min="3078" max="3078" width="46.140625" customWidth="1"/>
    <col min="3332" max="3332" width="18.42578125" customWidth="1"/>
    <col min="3333" max="3333" width="45.42578125" customWidth="1"/>
    <col min="3334" max="3334" width="46.140625" customWidth="1"/>
    <col min="3588" max="3588" width="18.42578125" customWidth="1"/>
    <col min="3589" max="3589" width="45.42578125" customWidth="1"/>
    <col min="3590" max="3590" width="46.140625" customWidth="1"/>
    <col min="3844" max="3844" width="18.42578125" customWidth="1"/>
    <col min="3845" max="3845" width="45.42578125" customWidth="1"/>
    <col min="3846" max="3846" width="46.140625" customWidth="1"/>
    <col min="4100" max="4100" width="18.42578125" customWidth="1"/>
    <col min="4101" max="4101" width="45.42578125" customWidth="1"/>
    <col min="4102" max="4102" width="46.140625" customWidth="1"/>
    <col min="4356" max="4356" width="18.42578125" customWidth="1"/>
    <col min="4357" max="4357" width="45.42578125" customWidth="1"/>
    <col min="4358" max="4358" width="46.140625" customWidth="1"/>
    <col min="4612" max="4612" width="18.42578125" customWidth="1"/>
    <col min="4613" max="4613" width="45.42578125" customWidth="1"/>
    <col min="4614" max="4614" width="46.140625" customWidth="1"/>
    <col min="4868" max="4868" width="18.42578125" customWidth="1"/>
    <col min="4869" max="4869" width="45.42578125" customWidth="1"/>
    <col min="4870" max="4870" width="46.140625" customWidth="1"/>
    <col min="5124" max="5124" width="18.42578125" customWidth="1"/>
    <col min="5125" max="5125" width="45.42578125" customWidth="1"/>
    <col min="5126" max="5126" width="46.140625" customWidth="1"/>
    <col min="5380" max="5380" width="18.42578125" customWidth="1"/>
    <col min="5381" max="5381" width="45.42578125" customWidth="1"/>
    <col min="5382" max="5382" width="46.140625" customWidth="1"/>
    <col min="5636" max="5636" width="18.42578125" customWidth="1"/>
    <col min="5637" max="5637" width="45.42578125" customWidth="1"/>
    <col min="5638" max="5638" width="46.140625" customWidth="1"/>
    <col min="5892" max="5892" width="18.42578125" customWidth="1"/>
    <col min="5893" max="5893" width="45.42578125" customWidth="1"/>
    <col min="5894" max="5894" width="46.140625" customWidth="1"/>
    <col min="6148" max="6148" width="18.42578125" customWidth="1"/>
    <col min="6149" max="6149" width="45.42578125" customWidth="1"/>
    <col min="6150" max="6150" width="46.140625" customWidth="1"/>
    <col min="6404" max="6404" width="18.42578125" customWidth="1"/>
    <col min="6405" max="6405" width="45.42578125" customWidth="1"/>
    <col min="6406" max="6406" width="46.140625" customWidth="1"/>
    <col min="6660" max="6660" width="18.42578125" customWidth="1"/>
    <col min="6661" max="6661" width="45.42578125" customWidth="1"/>
    <col min="6662" max="6662" width="46.140625" customWidth="1"/>
    <col min="6916" max="6916" width="18.42578125" customWidth="1"/>
    <col min="6917" max="6917" width="45.42578125" customWidth="1"/>
    <col min="6918" max="6918" width="46.140625" customWidth="1"/>
    <col min="7172" max="7172" width="18.42578125" customWidth="1"/>
    <col min="7173" max="7173" width="45.42578125" customWidth="1"/>
    <col min="7174" max="7174" width="46.140625" customWidth="1"/>
    <col min="7428" max="7428" width="18.42578125" customWidth="1"/>
    <col min="7429" max="7429" width="45.42578125" customWidth="1"/>
    <col min="7430" max="7430" width="46.140625" customWidth="1"/>
    <col min="7684" max="7684" width="18.42578125" customWidth="1"/>
    <col min="7685" max="7685" width="45.42578125" customWidth="1"/>
    <col min="7686" max="7686" width="46.140625" customWidth="1"/>
    <col min="7940" max="7940" width="18.42578125" customWidth="1"/>
    <col min="7941" max="7941" width="45.42578125" customWidth="1"/>
    <col min="7942" max="7942" width="46.140625" customWidth="1"/>
    <col min="8196" max="8196" width="18.42578125" customWidth="1"/>
    <col min="8197" max="8197" width="45.42578125" customWidth="1"/>
    <col min="8198" max="8198" width="46.140625" customWidth="1"/>
    <col min="8452" max="8452" width="18.42578125" customWidth="1"/>
    <col min="8453" max="8453" width="45.42578125" customWidth="1"/>
    <col min="8454" max="8454" width="46.140625" customWidth="1"/>
    <col min="8708" max="8708" width="18.42578125" customWidth="1"/>
    <col min="8709" max="8709" width="45.42578125" customWidth="1"/>
    <col min="8710" max="8710" width="46.140625" customWidth="1"/>
    <col min="8964" max="8964" width="18.42578125" customWidth="1"/>
    <col min="8965" max="8965" width="45.42578125" customWidth="1"/>
    <col min="8966" max="8966" width="46.140625" customWidth="1"/>
    <col min="9220" max="9220" width="18.42578125" customWidth="1"/>
    <col min="9221" max="9221" width="45.42578125" customWidth="1"/>
    <col min="9222" max="9222" width="46.140625" customWidth="1"/>
    <col min="9476" max="9476" width="18.42578125" customWidth="1"/>
    <col min="9477" max="9477" width="45.42578125" customWidth="1"/>
    <col min="9478" max="9478" width="46.140625" customWidth="1"/>
    <col min="9732" max="9732" width="18.42578125" customWidth="1"/>
    <col min="9733" max="9733" width="45.42578125" customWidth="1"/>
    <col min="9734" max="9734" width="46.140625" customWidth="1"/>
    <col min="9988" max="9988" width="18.42578125" customWidth="1"/>
    <col min="9989" max="9989" width="45.42578125" customWidth="1"/>
    <col min="9990" max="9990" width="46.140625" customWidth="1"/>
    <col min="10244" max="10244" width="18.42578125" customWidth="1"/>
    <col min="10245" max="10245" width="45.42578125" customWidth="1"/>
    <col min="10246" max="10246" width="46.140625" customWidth="1"/>
    <col min="10500" max="10500" width="18.42578125" customWidth="1"/>
    <col min="10501" max="10501" width="45.42578125" customWidth="1"/>
    <col min="10502" max="10502" width="46.140625" customWidth="1"/>
    <col min="10756" max="10756" width="18.42578125" customWidth="1"/>
    <col min="10757" max="10757" width="45.42578125" customWidth="1"/>
    <col min="10758" max="10758" width="46.140625" customWidth="1"/>
    <col min="11012" max="11012" width="18.42578125" customWidth="1"/>
    <col min="11013" max="11013" width="45.42578125" customWidth="1"/>
    <col min="11014" max="11014" width="46.140625" customWidth="1"/>
    <col min="11268" max="11268" width="18.42578125" customWidth="1"/>
    <col min="11269" max="11269" width="45.42578125" customWidth="1"/>
    <col min="11270" max="11270" width="46.140625" customWidth="1"/>
    <col min="11524" max="11524" width="18.42578125" customWidth="1"/>
    <col min="11525" max="11525" width="45.42578125" customWidth="1"/>
    <col min="11526" max="11526" width="46.140625" customWidth="1"/>
    <col min="11780" max="11780" width="18.42578125" customWidth="1"/>
    <col min="11781" max="11781" width="45.42578125" customWidth="1"/>
    <col min="11782" max="11782" width="46.140625" customWidth="1"/>
    <col min="12036" max="12036" width="18.42578125" customWidth="1"/>
    <col min="12037" max="12037" width="45.42578125" customWidth="1"/>
    <col min="12038" max="12038" width="46.140625" customWidth="1"/>
    <col min="12292" max="12292" width="18.42578125" customWidth="1"/>
    <col min="12293" max="12293" width="45.42578125" customWidth="1"/>
    <col min="12294" max="12294" width="46.140625" customWidth="1"/>
    <col min="12548" max="12548" width="18.42578125" customWidth="1"/>
    <col min="12549" max="12549" width="45.42578125" customWidth="1"/>
    <col min="12550" max="12550" width="46.140625" customWidth="1"/>
    <col min="12804" max="12804" width="18.42578125" customWidth="1"/>
    <col min="12805" max="12805" width="45.42578125" customWidth="1"/>
    <col min="12806" max="12806" width="46.140625" customWidth="1"/>
    <col min="13060" max="13060" width="18.42578125" customWidth="1"/>
    <col min="13061" max="13061" width="45.42578125" customWidth="1"/>
    <col min="13062" max="13062" width="46.140625" customWidth="1"/>
    <col min="13316" max="13316" width="18.42578125" customWidth="1"/>
    <col min="13317" max="13317" width="45.42578125" customWidth="1"/>
    <col min="13318" max="13318" width="46.140625" customWidth="1"/>
    <col min="13572" max="13572" width="18.42578125" customWidth="1"/>
    <col min="13573" max="13573" width="45.42578125" customWidth="1"/>
    <col min="13574" max="13574" width="46.140625" customWidth="1"/>
    <col min="13828" max="13828" width="18.42578125" customWidth="1"/>
    <col min="13829" max="13829" width="45.42578125" customWidth="1"/>
    <col min="13830" max="13830" width="46.140625" customWidth="1"/>
    <col min="14084" max="14084" width="18.42578125" customWidth="1"/>
    <col min="14085" max="14085" width="45.42578125" customWidth="1"/>
    <col min="14086" max="14086" width="46.140625" customWidth="1"/>
    <col min="14340" max="14340" width="18.42578125" customWidth="1"/>
    <col min="14341" max="14341" width="45.42578125" customWidth="1"/>
    <col min="14342" max="14342" width="46.140625" customWidth="1"/>
    <col min="14596" max="14596" width="18.42578125" customWidth="1"/>
    <col min="14597" max="14597" width="45.42578125" customWidth="1"/>
    <col min="14598" max="14598" width="46.140625" customWidth="1"/>
    <col min="14852" max="14852" width="18.42578125" customWidth="1"/>
    <col min="14853" max="14853" width="45.42578125" customWidth="1"/>
    <col min="14854" max="14854" width="46.140625" customWidth="1"/>
    <col min="15108" max="15108" width="18.42578125" customWidth="1"/>
    <col min="15109" max="15109" width="45.42578125" customWidth="1"/>
    <col min="15110" max="15110" width="46.140625" customWidth="1"/>
    <col min="15364" max="15364" width="18.42578125" customWidth="1"/>
    <col min="15365" max="15365" width="45.42578125" customWidth="1"/>
    <col min="15366" max="15366" width="46.140625" customWidth="1"/>
    <col min="15620" max="15620" width="18.42578125" customWidth="1"/>
    <col min="15621" max="15621" width="45.42578125" customWidth="1"/>
    <col min="15622" max="15622" width="46.140625" customWidth="1"/>
    <col min="15876" max="15876" width="18.42578125" customWidth="1"/>
    <col min="15877" max="15877" width="45.42578125" customWidth="1"/>
    <col min="15878" max="15878" width="46.140625" customWidth="1"/>
    <col min="16132" max="16132" width="18.42578125" customWidth="1"/>
    <col min="16133" max="16133" width="45.42578125" customWidth="1"/>
    <col min="16134" max="16134" width="46.140625" customWidth="1"/>
  </cols>
  <sheetData>
    <row r="1" spans="1:9" ht="33" customHeight="1">
      <c r="A1" s="129" t="s">
        <v>1097</v>
      </c>
      <c r="B1" s="129"/>
      <c r="C1" s="129"/>
      <c r="D1" s="129"/>
      <c r="E1" s="129"/>
    </row>
    <row r="2" spans="1:9">
      <c r="A2" t="s">
        <v>1098</v>
      </c>
    </row>
    <row r="3" spans="1:9" ht="6" customHeight="1"/>
    <row r="4" spans="1:9">
      <c r="A4" s="3" t="s">
        <v>1313</v>
      </c>
    </row>
    <row r="5" spans="1:9" ht="5.25" customHeight="1">
      <c r="A5" s="3"/>
    </row>
    <row r="6" spans="1:9">
      <c r="A6" s="46" t="s">
        <v>1185</v>
      </c>
      <c r="C6" s="47" t="s">
        <v>1186</v>
      </c>
    </row>
    <row r="7" spans="1:9">
      <c r="A7" s="46"/>
      <c r="C7" s="47"/>
    </row>
    <row r="8" spans="1:9">
      <c r="A8" s="3" t="s">
        <v>1119</v>
      </c>
      <c r="G8" s="43"/>
      <c r="H8" s="43"/>
    </row>
    <row r="9" spans="1:9">
      <c r="A9" s="8" t="s">
        <v>1120</v>
      </c>
      <c r="B9" t="s">
        <v>1121</v>
      </c>
    </row>
    <row r="10" spans="1:9">
      <c r="A10" s="9"/>
      <c r="B10" t="s">
        <v>1187</v>
      </c>
    </row>
    <row r="11" spans="1:9">
      <c r="A11" s="48"/>
    </row>
    <row r="12" spans="1:9">
      <c r="A12" s="49" t="s">
        <v>1188</v>
      </c>
      <c r="B12" s="26"/>
    </row>
    <row r="13" spans="1:9">
      <c r="A13" s="4" t="s">
        <v>1099</v>
      </c>
      <c r="B13" s="39">
        <f>SUM(Katalog!J2:J348)/10000</f>
        <v>141.01910000000001</v>
      </c>
    </row>
    <row r="14" spans="1:9" ht="18" thickBot="1">
      <c r="A14" s="5" t="s">
        <v>1100</v>
      </c>
      <c r="B14" s="6">
        <f>B13*15000</f>
        <v>2115286.5</v>
      </c>
    </row>
    <row r="15" spans="1:9" ht="15.75" thickTop="1"/>
    <row r="16" spans="1:9">
      <c r="A16" s="26" t="s">
        <v>2</v>
      </c>
      <c r="B16" s="26" t="s">
        <v>1162</v>
      </c>
      <c r="C16" s="27" t="s">
        <v>1163</v>
      </c>
      <c r="D16" s="27" t="s">
        <v>1164</v>
      </c>
      <c r="G16" s="136" t="s">
        <v>1214</v>
      </c>
      <c r="H16" s="143" t="s">
        <v>1314</v>
      </c>
      <c r="I16" s="140" t="s">
        <v>1315</v>
      </c>
    </row>
    <row r="17" spans="1:15">
      <c r="A17" s="28" t="s">
        <v>1165</v>
      </c>
      <c r="B17" s="28">
        <f>COUNTIF(Katalog!C2:C348,"Jihočeský")</f>
        <v>41</v>
      </c>
      <c r="C17" s="29">
        <f>SUMIF(Katalog!C2:C348,"Jihočeský",Katalog!J2:J348)/10000</f>
        <v>9.6574000000000009</v>
      </c>
      <c r="D17" s="30">
        <f t="shared" ref="D17:D29" si="0">C17*15000</f>
        <v>144861</v>
      </c>
      <c r="G17" s="137">
        <f>COUNTIFS(Katalog!C2:C348,"Jihočeský",Katalog!Z2:Z348,"&gt;0")</f>
        <v>18</v>
      </c>
      <c r="H17" s="141">
        <f>SUMIFS(Katalog!$Z$2:$Z$348,Katalog!$C$2:$C$348,"Jihočeský")/10000</f>
        <v>2.9470000000000001</v>
      </c>
      <c r="I17" s="144">
        <f>H17/C17</f>
        <v>0.30515459647524174</v>
      </c>
    </row>
    <row r="18" spans="1:15">
      <c r="A18" s="28" t="s">
        <v>1166</v>
      </c>
      <c r="B18" s="28">
        <f>COUNTIF(Katalog!C2:C348,"Jihomoravský")</f>
        <v>40</v>
      </c>
      <c r="C18" s="29">
        <f>SUMIF(Katalog!C2:C348,"Jihomoravský",Katalog!J2:J348)/10000</f>
        <v>5.2382999999999997</v>
      </c>
      <c r="D18" s="30">
        <f t="shared" si="0"/>
        <v>78574.5</v>
      </c>
      <c r="G18" s="138">
        <f>COUNTIFS(Katalog!C2:C348,"Jihomoravský",Katalog!Z2:Z348,"&gt;0")</f>
        <v>21</v>
      </c>
      <c r="H18" s="141">
        <f>SUMIFS(Katalog!$Z$2:$Z$348,Katalog!$C$2:$C$348,"Jihomoravský")/10000</f>
        <v>1.675</v>
      </c>
      <c r="I18" s="144">
        <f t="shared" ref="I18:I29" si="1">H18/C18</f>
        <v>0.31976022755474109</v>
      </c>
    </row>
    <row r="19" spans="1:15">
      <c r="A19" s="28" t="s">
        <v>1167</v>
      </c>
      <c r="B19" s="28">
        <f>COUNTIF(Katalog!C2:C348,"Karlovarský")</f>
        <v>6</v>
      </c>
      <c r="C19" s="29">
        <f>SUMIF(Katalog!C2:C348,"Karlovarský",Katalog!J2:J348)/10000</f>
        <v>0.54400000000000004</v>
      </c>
      <c r="D19" s="30">
        <f t="shared" si="0"/>
        <v>8160.0000000000009</v>
      </c>
      <c r="G19" s="138">
        <f>COUNTIFS(Katalog!C2:C348,"Karlovarský",Katalog!Z2:Z348,"&gt;0")</f>
        <v>2</v>
      </c>
      <c r="H19" s="141">
        <f>SUMIFS(Katalog!$Z$2:$Z$348,Katalog!$C$2:$C$348,"Karlovarský")/10000</f>
        <v>0.254</v>
      </c>
      <c r="I19" s="144">
        <f t="shared" si="1"/>
        <v>0.4669117647058823</v>
      </c>
    </row>
    <row r="20" spans="1:15">
      <c r="A20" s="28" t="s">
        <v>1168</v>
      </c>
      <c r="B20" s="28">
        <f>COUNTIF(Katalog!C2:C348,"Vysočina")</f>
        <v>25</v>
      </c>
      <c r="C20" s="29">
        <f>SUMIF(Katalog!C2:C348,"Vysočina",Katalog!J2:J348)/10000</f>
        <v>3.1964999999999999</v>
      </c>
      <c r="D20" s="30">
        <f t="shared" si="0"/>
        <v>47947.5</v>
      </c>
      <c r="G20" s="138">
        <f>COUNTIFS(Katalog!C2:C348,"Vysočina",Katalog!Z2:Z348,"&gt;0")</f>
        <v>8</v>
      </c>
      <c r="H20" s="141">
        <f>SUMIFS(Katalog!$Z$2:$Z$348,Katalog!$C$2:$C$348,"Vysočina")/10000</f>
        <v>0.94199999999999995</v>
      </c>
      <c r="I20" s="144">
        <f t="shared" si="1"/>
        <v>0.29469732519943687</v>
      </c>
    </row>
    <row r="21" spans="1:15">
      <c r="A21" s="28" t="s">
        <v>1169</v>
      </c>
      <c r="B21" s="28">
        <f>COUNTIF(Katalog!C2:C348,"Královéhradecký")</f>
        <v>27</v>
      </c>
      <c r="C21" s="29">
        <f>SUMIF(Katalog!C2:C348,"Královéhradecký",Katalog!J2:J348)/10000</f>
        <v>4.4947999999999997</v>
      </c>
      <c r="D21" s="30">
        <f t="shared" si="0"/>
        <v>67422</v>
      </c>
      <c r="G21" s="138">
        <f>COUNTIFS(Katalog!C2:C348,"Královéhradecký",Katalog!Z2:Z348,"&gt;0")</f>
        <v>22</v>
      </c>
      <c r="H21" s="141">
        <f>SUMIFS(Katalog!$Z$2:$Z$348,Katalog!$C$2:$C$348,"Královéhradecký")/10000</f>
        <v>2.3647999999999998</v>
      </c>
      <c r="I21" s="144">
        <f t="shared" si="1"/>
        <v>0.52611907092640386</v>
      </c>
    </row>
    <row r="22" spans="1:15">
      <c r="A22" s="28" t="s">
        <v>1170</v>
      </c>
      <c r="B22" s="28">
        <f>COUNTIF(Katalog!C2:C348,"Liberecký")</f>
        <v>14</v>
      </c>
      <c r="C22" s="29">
        <f>SUMIF(Katalog!C2:C348,"Liberecký",Katalog!J2:J348)/10000</f>
        <v>3.0750000000000002</v>
      </c>
      <c r="D22" s="30">
        <f t="shared" si="0"/>
        <v>46125</v>
      </c>
      <c r="E22" s="7"/>
      <c r="F22" s="7"/>
      <c r="G22" s="139">
        <f>COUNTIFS(Katalog!C2:C348,"Liberecký",Katalog!Z2:Z348,"&gt;0")</f>
        <v>8</v>
      </c>
      <c r="H22" s="141">
        <f>SUMIFS(Katalog!$Z$2:$Z$348,Katalog!$C$2:$C$348,"Liberecký")/10000</f>
        <v>1.7333600000000002</v>
      </c>
      <c r="I22" s="144">
        <f t="shared" si="1"/>
        <v>0.56369430894308947</v>
      </c>
      <c r="J22" s="7"/>
      <c r="K22" s="7"/>
      <c r="L22" s="7"/>
      <c r="M22" s="7"/>
      <c r="N22" s="7"/>
      <c r="O22" s="7"/>
    </row>
    <row r="23" spans="1:15">
      <c r="A23" s="28" t="s">
        <v>1171</v>
      </c>
      <c r="B23" s="28">
        <f>COUNTIF(Katalog!C2:C348,"Moravskoslezský")</f>
        <v>45</v>
      </c>
      <c r="C23" s="29">
        <f>SUMIF(Katalog!C2:C348,"Moravskoslezský",Katalog!J2:J348)/10000</f>
        <v>71.610399999999998</v>
      </c>
      <c r="D23" s="30">
        <f t="shared" si="0"/>
        <v>1074156</v>
      </c>
      <c r="E23" s="31"/>
      <c r="F23" s="31"/>
      <c r="G23" s="139">
        <f>COUNTIFS(Katalog!C2:C348,"Moravskoslezský",Katalog!Z2:Z348,"&gt;0")</f>
        <v>20</v>
      </c>
      <c r="H23" s="141">
        <f>SUMIFS(Katalog!$Z$2:$Z$348,Katalog!$C$2:$C$348,"Moravskoslezský")/10000</f>
        <v>2.6555</v>
      </c>
      <c r="I23" s="144">
        <f t="shared" si="1"/>
        <v>3.708260252700725E-2</v>
      </c>
      <c r="J23" s="7"/>
      <c r="K23" s="7"/>
      <c r="L23" s="7"/>
      <c r="M23" s="7"/>
      <c r="N23" s="7"/>
    </row>
    <row r="24" spans="1:15">
      <c r="A24" s="28" t="s">
        <v>1172</v>
      </c>
      <c r="B24" s="28">
        <f>COUNTIF(Katalog!C2:C348,"Olomoucký")</f>
        <v>38</v>
      </c>
      <c r="C24" s="29">
        <f>SUMIF(Katalog!C2:C348,"Olomoucký",Katalog!J2:J348)/10000</f>
        <v>15.4527</v>
      </c>
      <c r="D24" s="30">
        <f>C24*15000</f>
        <v>231790.5</v>
      </c>
      <c r="E24" s="7"/>
      <c r="F24" s="7"/>
      <c r="G24" s="139">
        <f>COUNTIFS(Katalog!C2:C348,"Olomoucký",Katalog!Z2:Z348,"&gt;0")</f>
        <v>9</v>
      </c>
      <c r="H24" s="141">
        <f>SUMIFS(Katalog!$Z$2:$Z$348,Katalog!$C$2:$C$348,"Olomoucký")/10000</f>
        <v>2.4106999999999998</v>
      </c>
      <c r="I24" s="144">
        <f t="shared" si="1"/>
        <v>0.15600509943246163</v>
      </c>
      <c r="J24" s="7"/>
      <c r="K24" s="7"/>
      <c r="L24" s="7"/>
      <c r="M24" s="7"/>
      <c r="N24" s="7"/>
    </row>
    <row r="25" spans="1:15">
      <c r="A25" s="28" t="s">
        <v>1173</v>
      </c>
      <c r="B25" s="28">
        <f>COUNTIF(Katalog!C2:C348,"Pardubický")</f>
        <v>12</v>
      </c>
      <c r="C25" s="29">
        <f>SUMIF(Katalog!C2:C348,"Pardubický",Katalog!J2:J348)/10000</f>
        <v>3.3652000000000002</v>
      </c>
      <c r="D25" s="30">
        <f t="shared" si="0"/>
        <v>50478</v>
      </c>
      <c r="G25" s="138">
        <f>COUNTIFS(Katalog!C2:C348,"Pardubický",Katalog!Z2:Z348,"&gt;0")</f>
        <v>6</v>
      </c>
      <c r="H25" s="141">
        <f>SUMIFS(Katalog!$Z$2:$Z$348,Katalog!$C$2:$C$348,"Pardubický")/10000</f>
        <v>0.45700000000000002</v>
      </c>
      <c r="I25" s="144">
        <f t="shared" si="1"/>
        <v>0.13580173540948531</v>
      </c>
    </row>
    <row r="26" spans="1:15">
      <c r="A26" s="28" t="s">
        <v>823</v>
      </c>
      <c r="B26" s="28">
        <f>COUNTIF(Katalog!C2:C348,"Plzeňský")</f>
        <v>35</v>
      </c>
      <c r="C26" s="29">
        <f>SUMIF(Katalog!C2:C348,"Plzeňský",Katalog!J2:J348)/10000</f>
        <v>5.6764000000000001</v>
      </c>
      <c r="D26" s="30">
        <f t="shared" si="0"/>
        <v>85146</v>
      </c>
      <c r="G26" s="138">
        <f>COUNTIFS(Katalog!C2:C348,"Plzeňský",Katalog!Z2:Z348,"&gt;0")</f>
        <v>17</v>
      </c>
      <c r="H26" s="141">
        <f>SUMIFS(Katalog!$Z$2:$Z$348,Katalog!$C$2:$C$348,"Plzeňský")/10000</f>
        <v>1.4184700000000001</v>
      </c>
      <c r="I26" s="144">
        <f t="shared" si="1"/>
        <v>0.24988901416390671</v>
      </c>
    </row>
    <row r="27" spans="1:15">
      <c r="A27" s="28" t="s">
        <v>946</v>
      </c>
      <c r="B27" s="28">
        <f>COUNTIF(Katalog!C2:C348,"Středočeský")</f>
        <v>35</v>
      </c>
      <c r="C27" s="29">
        <f>SUMIF(Katalog!C2:C348,"Středočeský",Katalog!J2:J348)/10000</f>
        <v>8.1804000000000006</v>
      </c>
      <c r="D27" s="30">
        <f t="shared" si="0"/>
        <v>122706.00000000001</v>
      </c>
      <c r="G27" s="138">
        <f>COUNTIFS(Katalog!C2:C348,"Středočeský",Katalog!Z2:Z348,"&gt;0")</f>
        <v>3</v>
      </c>
      <c r="H27" s="141">
        <f>SUMIFS(Katalog!$Z$2:$Z$348,Katalog!$C$2:$C$348,"Středočeský")/10000</f>
        <v>0.35499999999999998</v>
      </c>
      <c r="I27" s="144">
        <f t="shared" si="1"/>
        <v>4.3396410933450681E-2</v>
      </c>
    </row>
    <row r="28" spans="1:15">
      <c r="A28" s="28" t="s">
        <v>1174</v>
      </c>
      <c r="B28" s="28">
        <f>COUNTIF(Katalog!C2:C348,"Ústecký")</f>
        <v>12</v>
      </c>
      <c r="C28" s="29">
        <f>SUMIF(Katalog!C2:C348,"Ústecký",Katalog!J2:J348)/10000</f>
        <v>3.7040000000000002</v>
      </c>
      <c r="D28" s="30">
        <f t="shared" si="0"/>
        <v>55560</v>
      </c>
      <c r="G28" s="138">
        <f>COUNTIFS(Katalog!C2:C348,"Ústecký",Katalog!Z2:Z348,"&gt;0")</f>
        <v>7</v>
      </c>
      <c r="H28" s="141">
        <f>SUMIFS(Katalog!$Z$2:$Z$348,Katalog!$C$2:$C$348,"Ústecký")/10000</f>
        <v>1.4515</v>
      </c>
      <c r="I28" s="144">
        <f t="shared" si="1"/>
        <v>0.39187365010799136</v>
      </c>
    </row>
    <row r="29" spans="1:15">
      <c r="A29" s="28" t="s">
        <v>1175</v>
      </c>
      <c r="B29" s="28">
        <f>COUNTIF(Katalog!C2:C348,"Zlínský")</f>
        <v>16</v>
      </c>
      <c r="C29" s="29">
        <f>SUMIF(Katalog!C2:C348,"Zlínský",Katalog!J2:J348)/10000</f>
        <v>6.8239999999999998</v>
      </c>
      <c r="D29" s="30">
        <f t="shared" si="0"/>
        <v>102360</v>
      </c>
      <c r="G29" s="138">
        <f>COUNTIFS(Katalog!C2:C348,"Zlínský",Katalog!Z2:Z348,"&gt;0")</f>
        <v>4</v>
      </c>
      <c r="H29" s="141">
        <f>SUMIFS(Katalog!$Z$2:$Z$348,Katalog!$C$2:$C$348,"Zlínský")/10000</f>
        <v>0.23200000000000001</v>
      </c>
      <c r="I29" s="144">
        <f t="shared" si="1"/>
        <v>3.399765533411489E-2</v>
      </c>
    </row>
    <row r="30" spans="1:15">
      <c r="B30" s="32">
        <f>SUM(B17:B29)</f>
        <v>346</v>
      </c>
      <c r="C30" s="33">
        <f>SUM(C17:C29)</f>
        <v>141.01910000000004</v>
      </c>
      <c r="D30" s="34">
        <f>SUM(D17:D29)</f>
        <v>2115286.5</v>
      </c>
      <c r="E30" s="38"/>
      <c r="G30" s="140">
        <f>SUM(G17:G29)</f>
        <v>145</v>
      </c>
      <c r="H30" s="142">
        <f>SUM(H17:H29)</f>
        <v>18.896330000000003</v>
      </c>
    </row>
    <row r="33" spans="1:5" ht="17.25">
      <c r="A33" s="26" t="s">
        <v>1176</v>
      </c>
      <c r="B33" s="26" t="s">
        <v>1177</v>
      </c>
      <c r="C33" s="26" t="s">
        <v>1178</v>
      </c>
      <c r="D33" s="27" t="s">
        <v>1179</v>
      </c>
      <c r="E33" s="26" t="s">
        <v>1180</v>
      </c>
    </row>
    <row r="34" spans="1:5" ht="45">
      <c r="A34" s="35" t="s">
        <v>1181</v>
      </c>
      <c r="B34" s="28">
        <f>COUNTIF(Katalog!B2:B337,"Agentura hospodaření s nemovitým majetkem Ministerstva obrany")</f>
        <v>1</v>
      </c>
      <c r="C34" s="28">
        <f>SUMIF(Katalog!B2:B337,"Agentura hospodaření s nemovitým majetkem ministerstva obrany",Katalog!J2:J337)/10000</f>
        <v>4</v>
      </c>
      <c r="D34" s="50">
        <f>C34*15000</f>
        <v>60000</v>
      </c>
      <c r="E34" s="29">
        <f>(D34/D43)*100</f>
        <v>2.836495198168191</v>
      </c>
    </row>
    <row r="35" spans="1:5">
      <c r="A35" s="28" t="s">
        <v>18</v>
      </c>
      <c r="B35" s="28">
        <f>COUNTIF(Katalog!B2:B337,"České dráhy, a.s.")</f>
        <v>241</v>
      </c>
      <c r="C35" s="29">
        <f>SUMIF(Katalog!B2:B337,"České dráhy, a.s.",Katalog!J2:J337)/10000</f>
        <v>42.558700000000002</v>
      </c>
      <c r="D35" s="50">
        <f t="shared" ref="D35:D42" si="2">C35*15000</f>
        <v>638380.5</v>
      </c>
      <c r="E35" s="29">
        <f>(D35/D43)*100</f>
        <v>30.179387047570145</v>
      </c>
    </row>
    <row r="36" spans="1:5">
      <c r="A36" s="28" t="s">
        <v>297</v>
      </c>
      <c r="B36" s="28">
        <f>COUNTIF(Katalog!B2:B337,"ČR - SPÚ")</f>
        <v>5</v>
      </c>
      <c r="C36" s="29">
        <f>SUMIF(Katalog!B2:B337,"ČR - SPÚ",Katalog!J2:J337)/10000</f>
        <v>1.4967999999999999</v>
      </c>
      <c r="D36" s="50">
        <f t="shared" si="2"/>
        <v>22452</v>
      </c>
      <c r="E36" s="29">
        <f>(D36/D43)*100</f>
        <v>1.0614165031545371</v>
      </c>
    </row>
    <row r="37" spans="1:5">
      <c r="A37" s="28" t="s">
        <v>1037</v>
      </c>
      <c r="B37" s="28">
        <f>COUNTIF(Katalog!B2:B337,"ČR - SSHR")</f>
        <v>0</v>
      </c>
      <c r="C37" s="29">
        <f>SUMIF(Katalog!B2:B337,"ČR - SSHR",Katalog!J2:J337)/10000</f>
        <v>0</v>
      </c>
      <c r="D37" s="50">
        <f t="shared" si="2"/>
        <v>0</v>
      </c>
      <c r="E37" s="29">
        <f>(D37/D43)*100</f>
        <v>0</v>
      </c>
    </row>
    <row r="38" spans="1:5">
      <c r="A38" s="28" t="s">
        <v>347</v>
      </c>
      <c r="B38" s="28">
        <f>COUNTIF(Katalog!B2:B337,"ČR - ÚZSVM")</f>
        <v>5</v>
      </c>
      <c r="C38" s="29">
        <f>SUMIF(Katalog!B2:B337,"ČR - ÚZSVM",Katalog!J2:J337)/10000</f>
        <v>6.93</v>
      </c>
      <c r="D38" s="50">
        <f t="shared" si="2"/>
        <v>103950</v>
      </c>
      <c r="E38" s="29">
        <f>(D38/D43)*100</f>
        <v>4.9142279308263905</v>
      </c>
    </row>
    <row r="39" spans="1:5">
      <c r="A39" s="28" t="s">
        <v>823</v>
      </c>
      <c r="B39" s="28">
        <f>COUNTIF(Katalog!B2:B337,"Plzeňský kraj")</f>
        <v>5</v>
      </c>
      <c r="C39" s="29">
        <f>SUMIF(Katalog!B2:B337,"Plzeňský kraj",Katalog!J2:J337)/10000</f>
        <v>1.1639999999999999</v>
      </c>
      <c r="D39" s="50">
        <f t="shared" si="2"/>
        <v>17460</v>
      </c>
      <c r="E39" s="29">
        <f>(D39/D43)*100</f>
        <v>0.82542010266694354</v>
      </c>
    </row>
    <row r="40" spans="1:5">
      <c r="A40" s="28" t="s">
        <v>946</v>
      </c>
      <c r="B40" s="28">
        <f>COUNTIF(Katalog!B2:B337,"Středočeský kraj")</f>
        <v>0</v>
      </c>
      <c r="C40" s="29">
        <f>SUMIF(Katalog!B2:B337,"Středočeský kraj",Katalog!J2:J337)/10000</f>
        <v>0</v>
      </c>
      <c r="D40" s="50">
        <f t="shared" si="2"/>
        <v>0</v>
      </c>
      <c r="E40" s="29">
        <f>(D40/D43)*100</f>
        <v>0</v>
      </c>
    </row>
    <row r="41" spans="1:5">
      <c r="A41" s="28" t="s">
        <v>1310</v>
      </c>
      <c r="B41" s="28">
        <f>COUNTIF(Katalog!B2:B337,"SŽ, s.o.")</f>
        <v>68</v>
      </c>
      <c r="C41" s="29">
        <f>SUMIF(Katalog!B2:B337,"SŽ, s.o.",Katalog!J2:J337)/10000</f>
        <v>17.457000000000001</v>
      </c>
      <c r="D41" s="50">
        <f t="shared" si="2"/>
        <v>261855</v>
      </c>
      <c r="E41" s="29">
        <f>(D41/D43)*100</f>
        <v>12.379174168605527</v>
      </c>
    </row>
    <row r="42" spans="1:5">
      <c r="A42" s="40" t="s">
        <v>1182</v>
      </c>
      <c r="B42" s="40">
        <f>B30-SUM(B34:B41)</f>
        <v>21</v>
      </c>
      <c r="C42" s="41">
        <f>C30-SUM(C34:C41)</f>
        <v>67.412600000000026</v>
      </c>
      <c r="D42" s="50">
        <f t="shared" si="2"/>
        <v>1011189.0000000003</v>
      </c>
      <c r="E42" s="29">
        <f>(D42/D43)*100</f>
        <v>47.803879049008266</v>
      </c>
    </row>
    <row r="43" spans="1:5">
      <c r="B43" s="36">
        <f>SUM(B34:B42)</f>
        <v>346</v>
      </c>
      <c r="C43" s="33">
        <f>SUM(C34:C42)</f>
        <v>141.01910000000004</v>
      </c>
      <c r="D43" s="51">
        <f>SUM(D34:D42)</f>
        <v>2115286.5000000005</v>
      </c>
      <c r="E43" s="33">
        <f>SUM(E34:E42)</f>
        <v>100</v>
      </c>
    </row>
    <row r="45" spans="1:5">
      <c r="A45" s="37" t="s">
        <v>1101</v>
      </c>
      <c r="B45" s="130" t="s">
        <v>1102</v>
      </c>
      <c r="C45" s="131"/>
      <c r="D45" s="132" t="s">
        <v>1103</v>
      </c>
      <c r="E45" s="132"/>
    </row>
    <row r="46" spans="1:5" s="43" customFormat="1" ht="15" customHeight="1">
      <c r="A46" s="42" t="s">
        <v>347</v>
      </c>
      <c r="B46" s="126" t="s">
        <v>1104</v>
      </c>
      <c r="C46" s="127"/>
      <c r="D46" s="128" t="s">
        <v>1105</v>
      </c>
      <c r="E46" s="128"/>
    </row>
    <row r="47" spans="1:5" s="43" customFormat="1" ht="15" customHeight="1">
      <c r="A47" s="42" t="s">
        <v>297</v>
      </c>
      <c r="B47" s="126" t="s">
        <v>1106</v>
      </c>
      <c r="C47" s="127"/>
      <c r="D47" s="128" t="s">
        <v>1107</v>
      </c>
      <c r="E47" s="128"/>
    </row>
    <row r="48" spans="1:5" s="43" customFormat="1" ht="15" customHeight="1">
      <c r="A48" s="42" t="s">
        <v>1037</v>
      </c>
      <c r="B48" s="126" t="s">
        <v>1108</v>
      </c>
      <c r="C48" s="127"/>
      <c r="D48" s="128" t="s">
        <v>1109</v>
      </c>
      <c r="E48" s="128"/>
    </row>
    <row r="49" spans="1:22" s="43" customFormat="1" ht="15" customHeight="1">
      <c r="A49" s="42" t="s">
        <v>1310</v>
      </c>
      <c r="B49" s="126" t="s">
        <v>1309</v>
      </c>
      <c r="C49" s="127"/>
      <c r="D49" s="128" t="s">
        <v>1312</v>
      </c>
      <c r="E49" s="128"/>
    </row>
    <row r="50" spans="1:22" s="43" customFormat="1" ht="30" customHeight="1">
      <c r="A50" s="42" t="s">
        <v>28</v>
      </c>
      <c r="B50" s="126" t="s">
        <v>1110</v>
      </c>
      <c r="C50" s="127"/>
      <c r="D50" s="128" t="s">
        <v>1111</v>
      </c>
      <c r="E50" s="128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2" s="43" customFormat="1" ht="30" customHeight="1">
      <c r="A51" s="42" t="s">
        <v>177</v>
      </c>
      <c r="B51" s="126" t="s">
        <v>1112</v>
      </c>
      <c r="C51" s="127"/>
      <c r="D51" s="128" t="s">
        <v>1113</v>
      </c>
      <c r="E51" s="128"/>
      <c r="F51" s="45"/>
      <c r="G51" s="45"/>
      <c r="H51" s="45"/>
      <c r="I51" s="45"/>
      <c r="J51" s="45"/>
      <c r="K51" s="45"/>
      <c r="L51" s="45"/>
      <c r="M51" s="45"/>
      <c r="N51" s="44"/>
      <c r="O51" s="44"/>
      <c r="P51" s="44"/>
      <c r="Q51" s="44"/>
      <c r="R51" s="44"/>
      <c r="S51" s="44"/>
      <c r="T51" s="44"/>
      <c r="U51" s="44"/>
    </row>
    <row r="52" spans="1:22" s="43" customFormat="1" ht="30.75" customHeight="1">
      <c r="A52" s="42" t="s">
        <v>293</v>
      </c>
      <c r="B52" s="126" t="s">
        <v>1114</v>
      </c>
      <c r="C52" s="127"/>
      <c r="D52" s="128" t="s">
        <v>1115</v>
      </c>
      <c r="E52" s="128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2" s="43" customFormat="1" ht="29.45" customHeight="1">
      <c r="A53" s="42" t="s">
        <v>1116</v>
      </c>
      <c r="B53" s="126" t="s">
        <v>1117</v>
      </c>
      <c r="C53" s="127"/>
      <c r="D53" s="128" t="s">
        <v>1118</v>
      </c>
      <c r="E53" s="128"/>
    </row>
  </sheetData>
  <mergeCells count="19">
    <mergeCell ref="D53:E53"/>
    <mergeCell ref="D52:E52"/>
    <mergeCell ref="D51:E51"/>
    <mergeCell ref="D50:E50"/>
    <mergeCell ref="B53:C53"/>
    <mergeCell ref="B52:C52"/>
    <mergeCell ref="B51:C51"/>
    <mergeCell ref="B50:C50"/>
    <mergeCell ref="B49:C49"/>
    <mergeCell ref="D49:E49"/>
    <mergeCell ref="D48:E48"/>
    <mergeCell ref="A1:E1"/>
    <mergeCell ref="B45:C45"/>
    <mergeCell ref="D45:E45"/>
    <mergeCell ref="D47:E47"/>
    <mergeCell ref="D46:E46"/>
    <mergeCell ref="B48:C48"/>
    <mergeCell ref="B47:C47"/>
    <mergeCell ref="B46:C46"/>
  </mergeCells>
  <hyperlinks>
    <hyperlink ref="C6" r:id="rId1" xr:uid="{00000000-0004-0000-0000-000000000000}"/>
  </hyperlinks>
  <pageMargins left="0.7" right="0.7" top="0.78740157499999996" bottom="0.78740157499999996" header="0.3" footer="0.3"/>
  <pageSetup paperSize="9" orientation="landscape"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SUMÁŘ!G34:G34</xm:f>
              <xm:sqref>I34</xm:sqref>
            </x14:sparkline>
            <x14:sparkline>
              <xm:f>SUMÁŘ!H34:H34</xm:f>
              <xm:sqref>J34</xm:sqref>
            </x14:sparkline>
            <x14:sparkline>
              <xm:f>SUMÁŘ!H34:H34</xm:f>
              <xm:sqref>K34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48"/>
  <sheetViews>
    <sheetView zoomScale="55" zoomScaleNormal="55" workbookViewId="0">
      <pane ySplit="1" topLeftCell="A32" activePane="bottomLeft" state="frozen"/>
      <selection pane="bottomLeft" activeCell="AC42" sqref="AC42"/>
    </sheetView>
  </sheetViews>
  <sheetFormatPr defaultRowHeight="12.75"/>
  <cols>
    <col min="1" max="1" width="5" style="12" customWidth="1"/>
    <col min="2" max="2" width="14.42578125" style="11" customWidth="1"/>
    <col min="3" max="3" width="18.42578125" style="11" customWidth="1"/>
    <col min="4" max="4" width="5" style="11" customWidth="1"/>
    <col min="5" max="5" width="18.28515625" style="11" customWidth="1"/>
    <col min="6" max="6" width="4.85546875" style="11" customWidth="1"/>
    <col min="7" max="7" width="18.7109375" style="11" customWidth="1"/>
    <col min="8" max="8" width="20" style="11" customWidth="1"/>
    <col min="9" max="9" width="14.5703125" style="11" customWidth="1"/>
    <col min="10" max="10" width="14" style="11" customWidth="1"/>
    <col min="11" max="11" width="13.85546875" style="11" customWidth="1"/>
    <col min="12" max="12" width="14.28515625" style="11" customWidth="1"/>
    <col min="13" max="13" width="11.7109375" style="11" customWidth="1"/>
    <col min="14" max="14" width="11.140625" style="11" customWidth="1"/>
    <col min="15" max="15" width="11.85546875" style="11" customWidth="1"/>
    <col min="16" max="16" width="12.85546875" style="11" customWidth="1"/>
    <col min="17" max="17" width="17.7109375" style="11" customWidth="1"/>
    <col min="18" max="18" width="19.28515625" style="11" customWidth="1"/>
    <col min="19" max="19" width="30.7109375" style="11" customWidth="1"/>
    <col min="20" max="20" width="43.85546875" style="11" customWidth="1"/>
    <col min="21" max="21" width="18.140625" style="92" customWidth="1"/>
    <col min="22" max="22" width="18.5703125" style="93" customWidth="1"/>
    <col min="23" max="23" width="19.140625" style="11" customWidth="1"/>
    <col min="24" max="24" width="16.140625" style="24" customWidth="1"/>
    <col min="25" max="25" width="5" style="25" customWidth="1"/>
    <col min="26" max="26" width="13.85546875" style="24" customWidth="1"/>
    <col min="27" max="27" width="9.140625" style="24"/>
    <col min="28" max="253" width="9.140625" style="11"/>
    <col min="254" max="254" width="5" style="11" customWidth="1"/>
    <col min="255" max="255" width="14.42578125" style="11" customWidth="1"/>
    <col min="256" max="256" width="18.42578125" style="11" customWidth="1"/>
    <col min="257" max="257" width="5" style="11" customWidth="1"/>
    <col min="258" max="258" width="18.28515625" style="11" customWidth="1"/>
    <col min="259" max="259" width="4.85546875" style="11" customWidth="1"/>
    <col min="260" max="260" width="18.7109375" style="11" customWidth="1"/>
    <col min="261" max="261" width="20" style="11" customWidth="1"/>
    <col min="262" max="262" width="14.5703125" style="11" customWidth="1"/>
    <col min="263" max="263" width="14" style="11" customWidth="1"/>
    <col min="264" max="264" width="13.85546875" style="11" customWidth="1"/>
    <col min="265" max="265" width="14.28515625" style="11" customWidth="1"/>
    <col min="266" max="266" width="11.7109375" style="11" customWidth="1"/>
    <col min="267" max="267" width="11.140625" style="11" customWidth="1"/>
    <col min="268" max="268" width="11.85546875" style="11" customWidth="1"/>
    <col min="269" max="269" width="12.85546875" style="11" customWidth="1"/>
    <col min="270" max="270" width="17.7109375" style="11" customWidth="1"/>
    <col min="271" max="271" width="19.28515625" style="11" customWidth="1"/>
    <col min="272" max="272" width="30.7109375" style="11" customWidth="1"/>
    <col min="273" max="273" width="43.85546875" style="11" customWidth="1"/>
    <col min="274" max="274" width="18.28515625" style="11" customWidth="1"/>
    <col min="275" max="275" width="18.140625" style="11" customWidth="1"/>
    <col min="276" max="276" width="18.5703125" style="11" customWidth="1"/>
    <col min="277" max="278" width="9.140625" style="11"/>
    <col min="279" max="279" width="19.140625" style="11" customWidth="1"/>
    <col min="280" max="280" width="9.85546875" style="11" bestFit="1" customWidth="1"/>
    <col min="281" max="509" width="9.140625" style="11"/>
    <col min="510" max="510" width="5" style="11" customWidth="1"/>
    <col min="511" max="511" width="14.42578125" style="11" customWidth="1"/>
    <col min="512" max="512" width="18.42578125" style="11" customWidth="1"/>
    <col min="513" max="513" width="5" style="11" customWidth="1"/>
    <col min="514" max="514" width="18.28515625" style="11" customWidth="1"/>
    <col min="515" max="515" width="4.85546875" style="11" customWidth="1"/>
    <col min="516" max="516" width="18.7109375" style="11" customWidth="1"/>
    <col min="517" max="517" width="20" style="11" customWidth="1"/>
    <col min="518" max="518" width="14.5703125" style="11" customWidth="1"/>
    <col min="519" max="519" width="14" style="11" customWidth="1"/>
    <col min="520" max="520" width="13.85546875" style="11" customWidth="1"/>
    <col min="521" max="521" width="14.28515625" style="11" customWidth="1"/>
    <col min="522" max="522" width="11.7109375" style="11" customWidth="1"/>
    <col min="523" max="523" width="11.140625" style="11" customWidth="1"/>
    <col min="524" max="524" width="11.85546875" style="11" customWidth="1"/>
    <col min="525" max="525" width="12.85546875" style="11" customWidth="1"/>
    <col min="526" max="526" width="17.7109375" style="11" customWidth="1"/>
    <col min="527" max="527" width="19.28515625" style="11" customWidth="1"/>
    <col min="528" max="528" width="30.7109375" style="11" customWidth="1"/>
    <col min="529" max="529" width="43.85546875" style="11" customWidth="1"/>
    <col min="530" max="530" width="18.28515625" style="11" customWidth="1"/>
    <col min="531" max="531" width="18.140625" style="11" customWidth="1"/>
    <col min="532" max="532" width="18.5703125" style="11" customWidth="1"/>
    <col min="533" max="534" width="9.140625" style="11"/>
    <col min="535" max="535" width="19.140625" style="11" customWidth="1"/>
    <col min="536" max="536" width="9.85546875" style="11" bestFit="1" customWidth="1"/>
    <col min="537" max="765" width="9.140625" style="11"/>
    <col min="766" max="766" width="5" style="11" customWidth="1"/>
    <col min="767" max="767" width="14.42578125" style="11" customWidth="1"/>
    <col min="768" max="768" width="18.42578125" style="11" customWidth="1"/>
    <col min="769" max="769" width="5" style="11" customWidth="1"/>
    <col min="770" max="770" width="18.28515625" style="11" customWidth="1"/>
    <col min="771" max="771" width="4.85546875" style="11" customWidth="1"/>
    <col min="772" max="772" width="18.7109375" style="11" customWidth="1"/>
    <col min="773" max="773" width="20" style="11" customWidth="1"/>
    <col min="774" max="774" width="14.5703125" style="11" customWidth="1"/>
    <col min="775" max="775" width="14" style="11" customWidth="1"/>
    <col min="776" max="776" width="13.85546875" style="11" customWidth="1"/>
    <col min="777" max="777" width="14.28515625" style="11" customWidth="1"/>
    <col min="778" max="778" width="11.7109375" style="11" customWidth="1"/>
    <col min="779" max="779" width="11.140625" style="11" customWidth="1"/>
    <col min="780" max="780" width="11.85546875" style="11" customWidth="1"/>
    <col min="781" max="781" width="12.85546875" style="11" customWidth="1"/>
    <col min="782" max="782" width="17.7109375" style="11" customWidth="1"/>
    <col min="783" max="783" width="19.28515625" style="11" customWidth="1"/>
    <col min="784" max="784" width="30.7109375" style="11" customWidth="1"/>
    <col min="785" max="785" width="43.85546875" style="11" customWidth="1"/>
    <col min="786" max="786" width="18.28515625" style="11" customWidth="1"/>
    <col min="787" max="787" width="18.140625" style="11" customWidth="1"/>
    <col min="788" max="788" width="18.5703125" style="11" customWidth="1"/>
    <col min="789" max="790" width="9.140625" style="11"/>
    <col min="791" max="791" width="19.140625" style="11" customWidth="1"/>
    <col min="792" max="792" width="9.85546875" style="11" bestFit="1" customWidth="1"/>
    <col min="793" max="1021" width="9.140625" style="11"/>
    <col min="1022" max="1022" width="5" style="11" customWidth="1"/>
    <col min="1023" max="1023" width="14.42578125" style="11" customWidth="1"/>
    <col min="1024" max="1024" width="18.42578125" style="11" customWidth="1"/>
    <col min="1025" max="1025" width="5" style="11" customWidth="1"/>
    <col min="1026" max="1026" width="18.28515625" style="11" customWidth="1"/>
    <col min="1027" max="1027" width="4.85546875" style="11" customWidth="1"/>
    <col min="1028" max="1028" width="18.7109375" style="11" customWidth="1"/>
    <col min="1029" max="1029" width="20" style="11" customWidth="1"/>
    <col min="1030" max="1030" width="14.5703125" style="11" customWidth="1"/>
    <col min="1031" max="1031" width="14" style="11" customWidth="1"/>
    <col min="1032" max="1032" width="13.85546875" style="11" customWidth="1"/>
    <col min="1033" max="1033" width="14.28515625" style="11" customWidth="1"/>
    <col min="1034" max="1034" width="11.7109375" style="11" customWidth="1"/>
    <col min="1035" max="1035" width="11.140625" style="11" customWidth="1"/>
    <col min="1036" max="1036" width="11.85546875" style="11" customWidth="1"/>
    <col min="1037" max="1037" width="12.85546875" style="11" customWidth="1"/>
    <col min="1038" max="1038" width="17.7109375" style="11" customWidth="1"/>
    <col min="1039" max="1039" width="19.28515625" style="11" customWidth="1"/>
    <col min="1040" max="1040" width="30.7109375" style="11" customWidth="1"/>
    <col min="1041" max="1041" width="43.85546875" style="11" customWidth="1"/>
    <col min="1042" max="1042" width="18.28515625" style="11" customWidth="1"/>
    <col min="1043" max="1043" width="18.140625" style="11" customWidth="1"/>
    <col min="1044" max="1044" width="18.5703125" style="11" customWidth="1"/>
    <col min="1045" max="1046" width="9.140625" style="11"/>
    <col min="1047" max="1047" width="19.140625" style="11" customWidth="1"/>
    <col min="1048" max="1048" width="9.85546875" style="11" bestFit="1" customWidth="1"/>
    <col min="1049" max="1277" width="9.140625" style="11"/>
    <col min="1278" max="1278" width="5" style="11" customWidth="1"/>
    <col min="1279" max="1279" width="14.42578125" style="11" customWidth="1"/>
    <col min="1280" max="1280" width="18.42578125" style="11" customWidth="1"/>
    <col min="1281" max="1281" width="5" style="11" customWidth="1"/>
    <col min="1282" max="1282" width="18.28515625" style="11" customWidth="1"/>
    <col min="1283" max="1283" width="4.85546875" style="11" customWidth="1"/>
    <col min="1284" max="1284" width="18.7109375" style="11" customWidth="1"/>
    <col min="1285" max="1285" width="20" style="11" customWidth="1"/>
    <col min="1286" max="1286" width="14.5703125" style="11" customWidth="1"/>
    <col min="1287" max="1287" width="14" style="11" customWidth="1"/>
    <col min="1288" max="1288" width="13.85546875" style="11" customWidth="1"/>
    <col min="1289" max="1289" width="14.28515625" style="11" customWidth="1"/>
    <col min="1290" max="1290" width="11.7109375" style="11" customWidth="1"/>
    <col min="1291" max="1291" width="11.140625" style="11" customWidth="1"/>
    <col min="1292" max="1292" width="11.85546875" style="11" customWidth="1"/>
    <col min="1293" max="1293" width="12.85546875" style="11" customWidth="1"/>
    <col min="1294" max="1294" width="17.7109375" style="11" customWidth="1"/>
    <col min="1295" max="1295" width="19.28515625" style="11" customWidth="1"/>
    <col min="1296" max="1296" width="30.7109375" style="11" customWidth="1"/>
    <col min="1297" max="1297" width="43.85546875" style="11" customWidth="1"/>
    <col min="1298" max="1298" width="18.28515625" style="11" customWidth="1"/>
    <col min="1299" max="1299" width="18.140625" style="11" customWidth="1"/>
    <col min="1300" max="1300" width="18.5703125" style="11" customWidth="1"/>
    <col min="1301" max="1302" width="9.140625" style="11"/>
    <col min="1303" max="1303" width="19.140625" style="11" customWidth="1"/>
    <col min="1304" max="1304" width="9.85546875" style="11" bestFit="1" customWidth="1"/>
    <col min="1305" max="1533" width="9.140625" style="11"/>
    <col min="1534" max="1534" width="5" style="11" customWidth="1"/>
    <col min="1535" max="1535" width="14.42578125" style="11" customWidth="1"/>
    <col min="1536" max="1536" width="18.42578125" style="11" customWidth="1"/>
    <col min="1537" max="1537" width="5" style="11" customWidth="1"/>
    <col min="1538" max="1538" width="18.28515625" style="11" customWidth="1"/>
    <col min="1539" max="1539" width="4.85546875" style="11" customWidth="1"/>
    <col min="1540" max="1540" width="18.7109375" style="11" customWidth="1"/>
    <col min="1541" max="1541" width="20" style="11" customWidth="1"/>
    <col min="1542" max="1542" width="14.5703125" style="11" customWidth="1"/>
    <col min="1543" max="1543" width="14" style="11" customWidth="1"/>
    <col min="1544" max="1544" width="13.85546875" style="11" customWidth="1"/>
    <col min="1545" max="1545" width="14.28515625" style="11" customWidth="1"/>
    <col min="1546" max="1546" width="11.7109375" style="11" customWidth="1"/>
    <col min="1547" max="1547" width="11.140625" style="11" customWidth="1"/>
    <col min="1548" max="1548" width="11.85546875" style="11" customWidth="1"/>
    <col min="1549" max="1549" width="12.85546875" style="11" customWidth="1"/>
    <col min="1550" max="1550" width="17.7109375" style="11" customWidth="1"/>
    <col min="1551" max="1551" width="19.28515625" style="11" customWidth="1"/>
    <col min="1552" max="1552" width="30.7109375" style="11" customWidth="1"/>
    <col min="1553" max="1553" width="43.85546875" style="11" customWidth="1"/>
    <col min="1554" max="1554" width="18.28515625" style="11" customWidth="1"/>
    <col min="1555" max="1555" width="18.140625" style="11" customWidth="1"/>
    <col min="1556" max="1556" width="18.5703125" style="11" customWidth="1"/>
    <col min="1557" max="1558" width="9.140625" style="11"/>
    <col min="1559" max="1559" width="19.140625" style="11" customWidth="1"/>
    <col min="1560" max="1560" width="9.85546875" style="11" bestFit="1" customWidth="1"/>
    <col min="1561" max="1789" width="9.140625" style="11"/>
    <col min="1790" max="1790" width="5" style="11" customWidth="1"/>
    <col min="1791" max="1791" width="14.42578125" style="11" customWidth="1"/>
    <col min="1792" max="1792" width="18.42578125" style="11" customWidth="1"/>
    <col min="1793" max="1793" width="5" style="11" customWidth="1"/>
    <col min="1794" max="1794" width="18.28515625" style="11" customWidth="1"/>
    <col min="1795" max="1795" width="4.85546875" style="11" customWidth="1"/>
    <col min="1796" max="1796" width="18.7109375" style="11" customWidth="1"/>
    <col min="1797" max="1797" width="20" style="11" customWidth="1"/>
    <col min="1798" max="1798" width="14.5703125" style="11" customWidth="1"/>
    <col min="1799" max="1799" width="14" style="11" customWidth="1"/>
    <col min="1800" max="1800" width="13.85546875" style="11" customWidth="1"/>
    <col min="1801" max="1801" width="14.28515625" style="11" customWidth="1"/>
    <col min="1802" max="1802" width="11.7109375" style="11" customWidth="1"/>
    <col min="1803" max="1803" width="11.140625" style="11" customWidth="1"/>
    <col min="1804" max="1804" width="11.85546875" style="11" customWidth="1"/>
    <col min="1805" max="1805" width="12.85546875" style="11" customWidth="1"/>
    <col min="1806" max="1806" width="17.7109375" style="11" customWidth="1"/>
    <col min="1807" max="1807" width="19.28515625" style="11" customWidth="1"/>
    <col min="1808" max="1808" width="30.7109375" style="11" customWidth="1"/>
    <col min="1809" max="1809" width="43.85546875" style="11" customWidth="1"/>
    <col min="1810" max="1810" width="18.28515625" style="11" customWidth="1"/>
    <col min="1811" max="1811" width="18.140625" style="11" customWidth="1"/>
    <col min="1812" max="1812" width="18.5703125" style="11" customWidth="1"/>
    <col min="1813" max="1814" width="9.140625" style="11"/>
    <col min="1815" max="1815" width="19.140625" style="11" customWidth="1"/>
    <col min="1816" max="1816" width="9.85546875" style="11" bestFit="1" customWidth="1"/>
    <col min="1817" max="2045" width="9.140625" style="11"/>
    <col min="2046" max="2046" width="5" style="11" customWidth="1"/>
    <col min="2047" max="2047" width="14.42578125" style="11" customWidth="1"/>
    <col min="2048" max="2048" width="18.42578125" style="11" customWidth="1"/>
    <col min="2049" max="2049" width="5" style="11" customWidth="1"/>
    <col min="2050" max="2050" width="18.28515625" style="11" customWidth="1"/>
    <col min="2051" max="2051" width="4.85546875" style="11" customWidth="1"/>
    <col min="2052" max="2052" width="18.7109375" style="11" customWidth="1"/>
    <col min="2053" max="2053" width="20" style="11" customWidth="1"/>
    <col min="2054" max="2054" width="14.5703125" style="11" customWidth="1"/>
    <col min="2055" max="2055" width="14" style="11" customWidth="1"/>
    <col min="2056" max="2056" width="13.85546875" style="11" customWidth="1"/>
    <col min="2057" max="2057" width="14.28515625" style="11" customWidth="1"/>
    <col min="2058" max="2058" width="11.7109375" style="11" customWidth="1"/>
    <col min="2059" max="2059" width="11.140625" style="11" customWidth="1"/>
    <col min="2060" max="2060" width="11.85546875" style="11" customWidth="1"/>
    <col min="2061" max="2061" width="12.85546875" style="11" customWidth="1"/>
    <col min="2062" max="2062" width="17.7109375" style="11" customWidth="1"/>
    <col min="2063" max="2063" width="19.28515625" style="11" customWidth="1"/>
    <col min="2064" max="2064" width="30.7109375" style="11" customWidth="1"/>
    <col min="2065" max="2065" width="43.85546875" style="11" customWidth="1"/>
    <col min="2066" max="2066" width="18.28515625" style="11" customWidth="1"/>
    <col min="2067" max="2067" width="18.140625" style="11" customWidth="1"/>
    <col min="2068" max="2068" width="18.5703125" style="11" customWidth="1"/>
    <col min="2069" max="2070" width="9.140625" style="11"/>
    <col min="2071" max="2071" width="19.140625" style="11" customWidth="1"/>
    <col min="2072" max="2072" width="9.85546875" style="11" bestFit="1" customWidth="1"/>
    <col min="2073" max="2301" width="9.140625" style="11"/>
    <col min="2302" max="2302" width="5" style="11" customWidth="1"/>
    <col min="2303" max="2303" width="14.42578125" style="11" customWidth="1"/>
    <col min="2304" max="2304" width="18.42578125" style="11" customWidth="1"/>
    <col min="2305" max="2305" width="5" style="11" customWidth="1"/>
    <col min="2306" max="2306" width="18.28515625" style="11" customWidth="1"/>
    <col min="2307" max="2307" width="4.85546875" style="11" customWidth="1"/>
    <col min="2308" max="2308" width="18.7109375" style="11" customWidth="1"/>
    <col min="2309" max="2309" width="20" style="11" customWidth="1"/>
    <col min="2310" max="2310" width="14.5703125" style="11" customWidth="1"/>
    <col min="2311" max="2311" width="14" style="11" customWidth="1"/>
    <col min="2312" max="2312" width="13.85546875" style="11" customWidth="1"/>
    <col min="2313" max="2313" width="14.28515625" style="11" customWidth="1"/>
    <col min="2314" max="2314" width="11.7109375" style="11" customWidth="1"/>
    <col min="2315" max="2315" width="11.140625" style="11" customWidth="1"/>
    <col min="2316" max="2316" width="11.85546875" style="11" customWidth="1"/>
    <col min="2317" max="2317" width="12.85546875" style="11" customWidth="1"/>
    <col min="2318" max="2318" width="17.7109375" style="11" customWidth="1"/>
    <col min="2319" max="2319" width="19.28515625" style="11" customWidth="1"/>
    <col min="2320" max="2320" width="30.7109375" style="11" customWidth="1"/>
    <col min="2321" max="2321" width="43.85546875" style="11" customWidth="1"/>
    <col min="2322" max="2322" width="18.28515625" style="11" customWidth="1"/>
    <col min="2323" max="2323" width="18.140625" style="11" customWidth="1"/>
    <col min="2324" max="2324" width="18.5703125" style="11" customWidth="1"/>
    <col min="2325" max="2326" width="9.140625" style="11"/>
    <col min="2327" max="2327" width="19.140625" style="11" customWidth="1"/>
    <col min="2328" max="2328" width="9.85546875" style="11" bestFit="1" customWidth="1"/>
    <col min="2329" max="2557" width="9.140625" style="11"/>
    <col min="2558" max="2558" width="5" style="11" customWidth="1"/>
    <col min="2559" max="2559" width="14.42578125" style="11" customWidth="1"/>
    <col min="2560" max="2560" width="18.42578125" style="11" customWidth="1"/>
    <col min="2561" max="2561" width="5" style="11" customWidth="1"/>
    <col min="2562" max="2562" width="18.28515625" style="11" customWidth="1"/>
    <col min="2563" max="2563" width="4.85546875" style="11" customWidth="1"/>
    <col min="2564" max="2564" width="18.7109375" style="11" customWidth="1"/>
    <col min="2565" max="2565" width="20" style="11" customWidth="1"/>
    <col min="2566" max="2566" width="14.5703125" style="11" customWidth="1"/>
    <col min="2567" max="2567" width="14" style="11" customWidth="1"/>
    <col min="2568" max="2568" width="13.85546875" style="11" customWidth="1"/>
    <col min="2569" max="2569" width="14.28515625" style="11" customWidth="1"/>
    <col min="2570" max="2570" width="11.7109375" style="11" customWidth="1"/>
    <col min="2571" max="2571" width="11.140625" style="11" customWidth="1"/>
    <col min="2572" max="2572" width="11.85546875" style="11" customWidth="1"/>
    <col min="2573" max="2573" width="12.85546875" style="11" customWidth="1"/>
    <col min="2574" max="2574" width="17.7109375" style="11" customWidth="1"/>
    <col min="2575" max="2575" width="19.28515625" style="11" customWidth="1"/>
    <col min="2576" max="2576" width="30.7109375" style="11" customWidth="1"/>
    <col min="2577" max="2577" width="43.85546875" style="11" customWidth="1"/>
    <col min="2578" max="2578" width="18.28515625" style="11" customWidth="1"/>
    <col min="2579" max="2579" width="18.140625" style="11" customWidth="1"/>
    <col min="2580" max="2580" width="18.5703125" style="11" customWidth="1"/>
    <col min="2581" max="2582" width="9.140625" style="11"/>
    <col min="2583" max="2583" width="19.140625" style="11" customWidth="1"/>
    <col min="2584" max="2584" width="9.85546875" style="11" bestFit="1" customWidth="1"/>
    <col min="2585" max="2813" width="9.140625" style="11"/>
    <col min="2814" max="2814" width="5" style="11" customWidth="1"/>
    <col min="2815" max="2815" width="14.42578125" style="11" customWidth="1"/>
    <col min="2816" max="2816" width="18.42578125" style="11" customWidth="1"/>
    <col min="2817" max="2817" width="5" style="11" customWidth="1"/>
    <col min="2818" max="2818" width="18.28515625" style="11" customWidth="1"/>
    <col min="2819" max="2819" width="4.85546875" style="11" customWidth="1"/>
    <col min="2820" max="2820" width="18.7109375" style="11" customWidth="1"/>
    <col min="2821" max="2821" width="20" style="11" customWidth="1"/>
    <col min="2822" max="2822" width="14.5703125" style="11" customWidth="1"/>
    <col min="2823" max="2823" width="14" style="11" customWidth="1"/>
    <col min="2824" max="2824" width="13.85546875" style="11" customWidth="1"/>
    <col min="2825" max="2825" width="14.28515625" style="11" customWidth="1"/>
    <col min="2826" max="2826" width="11.7109375" style="11" customWidth="1"/>
    <col min="2827" max="2827" width="11.140625" style="11" customWidth="1"/>
    <col min="2828" max="2828" width="11.85546875" style="11" customWidth="1"/>
    <col min="2829" max="2829" width="12.85546875" style="11" customWidth="1"/>
    <col min="2830" max="2830" width="17.7109375" style="11" customWidth="1"/>
    <col min="2831" max="2831" width="19.28515625" style="11" customWidth="1"/>
    <col min="2832" max="2832" width="30.7109375" style="11" customWidth="1"/>
    <col min="2833" max="2833" width="43.85546875" style="11" customWidth="1"/>
    <col min="2834" max="2834" width="18.28515625" style="11" customWidth="1"/>
    <col min="2835" max="2835" width="18.140625" style="11" customWidth="1"/>
    <col min="2836" max="2836" width="18.5703125" style="11" customWidth="1"/>
    <col min="2837" max="2838" width="9.140625" style="11"/>
    <col min="2839" max="2839" width="19.140625" style="11" customWidth="1"/>
    <col min="2840" max="2840" width="9.85546875" style="11" bestFit="1" customWidth="1"/>
    <col min="2841" max="3069" width="9.140625" style="11"/>
    <col min="3070" max="3070" width="5" style="11" customWidth="1"/>
    <col min="3071" max="3071" width="14.42578125" style="11" customWidth="1"/>
    <col min="3072" max="3072" width="18.42578125" style="11" customWidth="1"/>
    <col min="3073" max="3073" width="5" style="11" customWidth="1"/>
    <col min="3074" max="3074" width="18.28515625" style="11" customWidth="1"/>
    <col min="3075" max="3075" width="4.85546875" style="11" customWidth="1"/>
    <col min="3076" max="3076" width="18.7109375" style="11" customWidth="1"/>
    <col min="3077" max="3077" width="20" style="11" customWidth="1"/>
    <col min="3078" max="3078" width="14.5703125" style="11" customWidth="1"/>
    <col min="3079" max="3079" width="14" style="11" customWidth="1"/>
    <col min="3080" max="3080" width="13.85546875" style="11" customWidth="1"/>
    <col min="3081" max="3081" width="14.28515625" style="11" customWidth="1"/>
    <col min="3082" max="3082" width="11.7109375" style="11" customWidth="1"/>
    <col min="3083" max="3083" width="11.140625" style="11" customWidth="1"/>
    <col min="3084" max="3084" width="11.85546875" style="11" customWidth="1"/>
    <col min="3085" max="3085" width="12.85546875" style="11" customWidth="1"/>
    <col min="3086" max="3086" width="17.7109375" style="11" customWidth="1"/>
    <col min="3087" max="3087" width="19.28515625" style="11" customWidth="1"/>
    <col min="3088" max="3088" width="30.7109375" style="11" customWidth="1"/>
    <col min="3089" max="3089" width="43.85546875" style="11" customWidth="1"/>
    <col min="3090" max="3090" width="18.28515625" style="11" customWidth="1"/>
    <col min="3091" max="3091" width="18.140625" style="11" customWidth="1"/>
    <col min="3092" max="3092" width="18.5703125" style="11" customWidth="1"/>
    <col min="3093" max="3094" width="9.140625" style="11"/>
    <col min="3095" max="3095" width="19.140625" style="11" customWidth="1"/>
    <col min="3096" max="3096" width="9.85546875" style="11" bestFit="1" customWidth="1"/>
    <col min="3097" max="3325" width="9.140625" style="11"/>
    <col min="3326" max="3326" width="5" style="11" customWidth="1"/>
    <col min="3327" max="3327" width="14.42578125" style="11" customWidth="1"/>
    <col min="3328" max="3328" width="18.42578125" style="11" customWidth="1"/>
    <col min="3329" max="3329" width="5" style="11" customWidth="1"/>
    <col min="3330" max="3330" width="18.28515625" style="11" customWidth="1"/>
    <col min="3331" max="3331" width="4.85546875" style="11" customWidth="1"/>
    <col min="3332" max="3332" width="18.7109375" style="11" customWidth="1"/>
    <col min="3333" max="3333" width="20" style="11" customWidth="1"/>
    <col min="3334" max="3334" width="14.5703125" style="11" customWidth="1"/>
    <col min="3335" max="3335" width="14" style="11" customWidth="1"/>
    <col min="3336" max="3336" width="13.85546875" style="11" customWidth="1"/>
    <col min="3337" max="3337" width="14.28515625" style="11" customWidth="1"/>
    <col min="3338" max="3338" width="11.7109375" style="11" customWidth="1"/>
    <col min="3339" max="3339" width="11.140625" style="11" customWidth="1"/>
    <col min="3340" max="3340" width="11.85546875" style="11" customWidth="1"/>
    <col min="3341" max="3341" width="12.85546875" style="11" customWidth="1"/>
    <col min="3342" max="3342" width="17.7109375" style="11" customWidth="1"/>
    <col min="3343" max="3343" width="19.28515625" style="11" customWidth="1"/>
    <col min="3344" max="3344" width="30.7109375" style="11" customWidth="1"/>
    <col min="3345" max="3345" width="43.85546875" style="11" customWidth="1"/>
    <col min="3346" max="3346" width="18.28515625" style="11" customWidth="1"/>
    <col min="3347" max="3347" width="18.140625" style="11" customWidth="1"/>
    <col min="3348" max="3348" width="18.5703125" style="11" customWidth="1"/>
    <col min="3349" max="3350" width="9.140625" style="11"/>
    <col min="3351" max="3351" width="19.140625" style="11" customWidth="1"/>
    <col min="3352" max="3352" width="9.85546875" style="11" bestFit="1" customWidth="1"/>
    <col min="3353" max="3581" width="9.140625" style="11"/>
    <col min="3582" max="3582" width="5" style="11" customWidth="1"/>
    <col min="3583" max="3583" width="14.42578125" style="11" customWidth="1"/>
    <col min="3584" max="3584" width="18.42578125" style="11" customWidth="1"/>
    <col min="3585" max="3585" width="5" style="11" customWidth="1"/>
    <col min="3586" max="3586" width="18.28515625" style="11" customWidth="1"/>
    <col min="3587" max="3587" width="4.85546875" style="11" customWidth="1"/>
    <col min="3588" max="3588" width="18.7109375" style="11" customWidth="1"/>
    <col min="3589" max="3589" width="20" style="11" customWidth="1"/>
    <col min="3590" max="3590" width="14.5703125" style="11" customWidth="1"/>
    <col min="3591" max="3591" width="14" style="11" customWidth="1"/>
    <col min="3592" max="3592" width="13.85546875" style="11" customWidth="1"/>
    <col min="3593" max="3593" width="14.28515625" style="11" customWidth="1"/>
    <col min="3594" max="3594" width="11.7109375" style="11" customWidth="1"/>
    <col min="3595" max="3595" width="11.140625" style="11" customWidth="1"/>
    <col min="3596" max="3596" width="11.85546875" style="11" customWidth="1"/>
    <col min="3597" max="3597" width="12.85546875" style="11" customWidth="1"/>
    <col min="3598" max="3598" width="17.7109375" style="11" customWidth="1"/>
    <col min="3599" max="3599" width="19.28515625" style="11" customWidth="1"/>
    <col min="3600" max="3600" width="30.7109375" style="11" customWidth="1"/>
    <col min="3601" max="3601" width="43.85546875" style="11" customWidth="1"/>
    <col min="3602" max="3602" width="18.28515625" style="11" customWidth="1"/>
    <col min="3603" max="3603" width="18.140625" style="11" customWidth="1"/>
    <col min="3604" max="3604" width="18.5703125" style="11" customWidth="1"/>
    <col min="3605" max="3606" width="9.140625" style="11"/>
    <col min="3607" max="3607" width="19.140625" style="11" customWidth="1"/>
    <col min="3608" max="3608" width="9.85546875" style="11" bestFit="1" customWidth="1"/>
    <col min="3609" max="3837" width="9.140625" style="11"/>
    <col min="3838" max="3838" width="5" style="11" customWidth="1"/>
    <col min="3839" max="3839" width="14.42578125" style="11" customWidth="1"/>
    <col min="3840" max="3840" width="18.42578125" style="11" customWidth="1"/>
    <col min="3841" max="3841" width="5" style="11" customWidth="1"/>
    <col min="3842" max="3842" width="18.28515625" style="11" customWidth="1"/>
    <col min="3843" max="3843" width="4.85546875" style="11" customWidth="1"/>
    <col min="3844" max="3844" width="18.7109375" style="11" customWidth="1"/>
    <col min="3845" max="3845" width="20" style="11" customWidth="1"/>
    <col min="3846" max="3846" width="14.5703125" style="11" customWidth="1"/>
    <col min="3847" max="3847" width="14" style="11" customWidth="1"/>
    <col min="3848" max="3848" width="13.85546875" style="11" customWidth="1"/>
    <col min="3849" max="3849" width="14.28515625" style="11" customWidth="1"/>
    <col min="3850" max="3850" width="11.7109375" style="11" customWidth="1"/>
    <col min="3851" max="3851" width="11.140625" style="11" customWidth="1"/>
    <col min="3852" max="3852" width="11.85546875" style="11" customWidth="1"/>
    <col min="3853" max="3853" width="12.85546875" style="11" customWidth="1"/>
    <col min="3854" max="3854" width="17.7109375" style="11" customWidth="1"/>
    <col min="3855" max="3855" width="19.28515625" style="11" customWidth="1"/>
    <col min="3856" max="3856" width="30.7109375" style="11" customWidth="1"/>
    <col min="3857" max="3857" width="43.85546875" style="11" customWidth="1"/>
    <col min="3858" max="3858" width="18.28515625" style="11" customWidth="1"/>
    <col min="3859" max="3859" width="18.140625" style="11" customWidth="1"/>
    <col min="3860" max="3860" width="18.5703125" style="11" customWidth="1"/>
    <col min="3861" max="3862" width="9.140625" style="11"/>
    <col min="3863" max="3863" width="19.140625" style="11" customWidth="1"/>
    <col min="3864" max="3864" width="9.85546875" style="11" bestFit="1" customWidth="1"/>
    <col min="3865" max="4093" width="9.140625" style="11"/>
    <col min="4094" max="4094" width="5" style="11" customWidth="1"/>
    <col min="4095" max="4095" width="14.42578125" style="11" customWidth="1"/>
    <col min="4096" max="4096" width="18.42578125" style="11" customWidth="1"/>
    <col min="4097" max="4097" width="5" style="11" customWidth="1"/>
    <col min="4098" max="4098" width="18.28515625" style="11" customWidth="1"/>
    <col min="4099" max="4099" width="4.85546875" style="11" customWidth="1"/>
    <col min="4100" max="4100" width="18.7109375" style="11" customWidth="1"/>
    <col min="4101" max="4101" width="20" style="11" customWidth="1"/>
    <col min="4102" max="4102" width="14.5703125" style="11" customWidth="1"/>
    <col min="4103" max="4103" width="14" style="11" customWidth="1"/>
    <col min="4104" max="4104" width="13.85546875" style="11" customWidth="1"/>
    <col min="4105" max="4105" width="14.28515625" style="11" customWidth="1"/>
    <col min="4106" max="4106" width="11.7109375" style="11" customWidth="1"/>
    <col min="4107" max="4107" width="11.140625" style="11" customWidth="1"/>
    <col min="4108" max="4108" width="11.85546875" style="11" customWidth="1"/>
    <col min="4109" max="4109" width="12.85546875" style="11" customWidth="1"/>
    <col min="4110" max="4110" width="17.7109375" style="11" customWidth="1"/>
    <col min="4111" max="4111" width="19.28515625" style="11" customWidth="1"/>
    <col min="4112" max="4112" width="30.7109375" style="11" customWidth="1"/>
    <col min="4113" max="4113" width="43.85546875" style="11" customWidth="1"/>
    <col min="4114" max="4114" width="18.28515625" style="11" customWidth="1"/>
    <col min="4115" max="4115" width="18.140625" style="11" customWidth="1"/>
    <col min="4116" max="4116" width="18.5703125" style="11" customWidth="1"/>
    <col min="4117" max="4118" width="9.140625" style="11"/>
    <col min="4119" max="4119" width="19.140625" style="11" customWidth="1"/>
    <col min="4120" max="4120" width="9.85546875" style="11" bestFit="1" customWidth="1"/>
    <col min="4121" max="4349" width="9.140625" style="11"/>
    <col min="4350" max="4350" width="5" style="11" customWidth="1"/>
    <col min="4351" max="4351" width="14.42578125" style="11" customWidth="1"/>
    <col min="4352" max="4352" width="18.42578125" style="11" customWidth="1"/>
    <col min="4353" max="4353" width="5" style="11" customWidth="1"/>
    <col min="4354" max="4354" width="18.28515625" style="11" customWidth="1"/>
    <col min="4355" max="4355" width="4.85546875" style="11" customWidth="1"/>
    <col min="4356" max="4356" width="18.7109375" style="11" customWidth="1"/>
    <col min="4357" max="4357" width="20" style="11" customWidth="1"/>
    <col min="4358" max="4358" width="14.5703125" style="11" customWidth="1"/>
    <col min="4359" max="4359" width="14" style="11" customWidth="1"/>
    <col min="4360" max="4360" width="13.85546875" style="11" customWidth="1"/>
    <col min="4361" max="4361" width="14.28515625" style="11" customWidth="1"/>
    <col min="4362" max="4362" width="11.7109375" style="11" customWidth="1"/>
    <col min="4363" max="4363" width="11.140625" style="11" customWidth="1"/>
    <col min="4364" max="4364" width="11.85546875" style="11" customWidth="1"/>
    <col min="4365" max="4365" width="12.85546875" style="11" customWidth="1"/>
    <col min="4366" max="4366" width="17.7109375" style="11" customWidth="1"/>
    <col min="4367" max="4367" width="19.28515625" style="11" customWidth="1"/>
    <col min="4368" max="4368" width="30.7109375" style="11" customWidth="1"/>
    <col min="4369" max="4369" width="43.85546875" style="11" customWidth="1"/>
    <col min="4370" max="4370" width="18.28515625" style="11" customWidth="1"/>
    <col min="4371" max="4371" width="18.140625" style="11" customWidth="1"/>
    <col min="4372" max="4372" width="18.5703125" style="11" customWidth="1"/>
    <col min="4373" max="4374" width="9.140625" style="11"/>
    <col min="4375" max="4375" width="19.140625" style="11" customWidth="1"/>
    <col min="4376" max="4376" width="9.85546875" style="11" bestFit="1" customWidth="1"/>
    <col min="4377" max="4605" width="9.140625" style="11"/>
    <col min="4606" max="4606" width="5" style="11" customWidth="1"/>
    <col min="4607" max="4607" width="14.42578125" style="11" customWidth="1"/>
    <col min="4608" max="4608" width="18.42578125" style="11" customWidth="1"/>
    <col min="4609" max="4609" width="5" style="11" customWidth="1"/>
    <col min="4610" max="4610" width="18.28515625" style="11" customWidth="1"/>
    <col min="4611" max="4611" width="4.85546875" style="11" customWidth="1"/>
    <col min="4612" max="4612" width="18.7109375" style="11" customWidth="1"/>
    <col min="4613" max="4613" width="20" style="11" customWidth="1"/>
    <col min="4614" max="4614" width="14.5703125" style="11" customWidth="1"/>
    <col min="4615" max="4615" width="14" style="11" customWidth="1"/>
    <col min="4616" max="4616" width="13.85546875" style="11" customWidth="1"/>
    <col min="4617" max="4617" width="14.28515625" style="11" customWidth="1"/>
    <col min="4618" max="4618" width="11.7109375" style="11" customWidth="1"/>
    <col min="4619" max="4619" width="11.140625" style="11" customWidth="1"/>
    <col min="4620" max="4620" width="11.85546875" style="11" customWidth="1"/>
    <col min="4621" max="4621" width="12.85546875" style="11" customWidth="1"/>
    <col min="4622" max="4622" width="17.7109375" style="11" customWidth="1"/>
    <col min="4623" max="4623" width="19.28515625" style="11" customWidth="1"/>
    <col min="4624" max="4624" width="30.7109375" style="11" customWidth="1"/>
    <col min="4625" max="4625" width="43.85546875" style="11" customWidth="1"/>
    <col min="4626" max="4626" width="18.28515625" style="11" customWidth="1"/>
    <col min="4627" max="4627" width="18.140625" style="11" customWidth="1"/>
    <col min="4628" max="4628" width="18.5703125" style="11" customWidth="1"/>
    <col min="4629" max="4630" width="9.140625" style="11"/>
    <col min="4631" max="4631" width="19.140625" style="11" customWidth="1"/>
    <col min="4632" max="4632" width="9.85546875" style="11" bestFit="1" customWidth="1"/>
    <col min="4633" max="4861" width="9.140625" style="11"/>
    <col min="4862" max="4862" width="5" style="11" customWidth="1"/>
    <col min="4863" max="4863" width="14.42578125" style="11" customWidth="1"/>
    <col min="4864" max="4864" width="18.42578125" style="11" customWidth="1"/>
    <col min="4865" max="4865" width="5" style="11" customWidth="1"/>
    <col min="4866" max="4866" width="18.28515625" style="11" customWidth="1"/>
    <col min="4867" max="4867" width="4.85546875" style="11" customWidth="1"/>
    <col min="4868" max="4868" width="18.7109375" style="11" customWidth="1"/>
    <col min="4869" max="4869" width="20" style="11" customWidth="1"/>
    <col min="4870" max="4870" width="14.5703125" style="11" customWidth="1"/>
    <col min="4871" max="4871" width="14" style="11" customWidth="1"/>
    <col min="4872" max="4872" width="13.85546875" style="11" customWidth="1"/>
    <col min="4873" max="4873" width="14.28515625" style="11" customWidth="1"/>
    <col min="4874" max="4874" width="11.7109375" style="11" customWidth="1"/>
    <col min="4875" max="4875" width="11.140625" style="11" customWidth="1"/>
    <col min="4876" max="4876" width="11.85546875" style="11" customWidth="1"/>
    <col min="4877" max="4877" width="12.85546875" style="11" customWidth="1"/>
    <col min="4878" max="4878" width="17.7109375" style="11" customWidth="1"/>
    <col min="4879" max="4879" width="19.28515625" style="11" customWidth="1"/>
    <col min="4880" max="4880" width="30.7109375" style="11" customWidth="1"/>
    <col min="4881" max="4881" width="43.85546875" style="11" customWidth="1"/>
    <col min="4882" max="4882" width="18.28515625" style="11" customWidth="1"/>
    <col min="4883" max="4883" width="18.140625" style="11" customWidth="1"/>
    <col min="4884" max="4884" width="18.5703125" style="11" customWidth="1"/>
    <col min="4885" max="4886" width="9.140625" style="11"/>
    <col min="4887" max="4887" width="19.140625" style="11" customWidth="1"/>
    <col min="4888" max="4888" width="9.85546875" style="11" bestFit="1" customWidth="1"/>
    <col min="4889" max="5117" width="9.140625" style="11"/>
    <col min="5118" max="5118" width="5" style="11" customWidth="1"/>
    <col min="5119" max="5119" width="14.42578125" style="11" customWidth="1"/>
    <col min="5120" max="5120" width="18.42578125" style="11" customWidth="1"/>
    <col min="5121" max="5121" width="5" style="11" customWidth="1"/>
    <col min="5122" max="5122" width="18.28515625" style="11" customWidth="1"/>
    <col min="5123" max="5123" width="4.85546875" style="11" customWidth="1"/>
    <col min="5124" max="5124" width="18.7109375" style="11" customWidth="1"/>
    <col min="5125" max="5125" width="20" style="11" customWidth="1"/>
    <col min="5126" max="5126" width="14.5703125" style="11" customWidth="1"/>
    <col min="5127" max="5127" width="14" style="11" customWidth="1"/>
    <col min="5128" max="5128" width="13.85546875" style="11" customWidth="1"/>
    <col min="5129" max="5129" width="14.28515625" style="11" customWidth="1"/>
    <col min="5130" max="5130" width="11.7109375" style="11" customWidth="1"/>
    <col min="5131" max="5131" width="11.140625" style="11" customWidth="1"/>
    <col min="5132" max="5132" width="11.85546875" style="11" customWidth="1"/>
    <col min="5133" max="5133" width="12.85546875" style="11" customWidth="1"/>
    <col min="5134" max="5134" width="17.7109375" style="11" customWidth="1"/>
    <col min="5135" max="5135" width="19.28515625" style="11" customWidth="1"/>
    <col min="5136" max="5136" width="30.7109375" style="11" customWidth="1"/>
    <col min="5137" max="5137" width="43.85546875" style="11" customWidth="1"/>
    <col min="5138" max="5138" width="18.28515625" style="11" customWidth="1"/>
    <col min="5139" max="5139" width="18.140625" style="11" customWidth="1"/>
    <col min="5140" max="5140" width="18.5703125" style="11" customWidth="1"/>
    <col min="5141" max="5142" width="9.140625" style="11"/>
    <col min="5143" max="5143" width="19.140625" style="11" customWidth="1"/>
    <col min="5144" max="5144" width="9.85546875" style="11" bestFit="1" customWidth="1"/>
    <col min="5145" max="5373" width="9.140625" style="11"/>
    <col min="5374" max="5374" width="5" style="11" customWidth="1"/>
    <col min="5375" max="5375" width="14.42578125" style="11" customWidth="1"/>
    <col min="5376" max="5376" width="18.42578125" style="11" customWidth="1"/>
    <col min="5377" max="5377" width="5" style="11" customWidth="1"/>
    <col min="5378" max="5378" width="18.28515625" style="11" customWidth="1"/>
    <col min="5379" max="5379" width="4.85546875" style="11" customWidth="1"/>
    <col min="5380" max="5380" width="18.7109375" style="11" customWidth="1"/>
    <col min="5381" max="5381" width="20" style="11" customWidth="1"/>
    <col min="5382" max="5382" width="14.5703125" style="11" customWidth="1"/>
    <col min="5383" max="5383" width="14" style="11" customWidth="1"/>
    <col min="5384" max="5384" width="13.85546875" style="11" customWidth="1"/>
    <col min="5385" max="5385" width="14.28515625" style="11" customWidth="1"/>
    <col min="5386" max="5386" width="11.7109375" style="11" customWidth="1"/>
    <col min="5387" max="5387" width="11.140625" style="11" customWidth="1"/>
    <col min="5388" max="5388" width="11.85546875" style="11" customWidth="1"/>
    <col min="5389" max="5389" width="12.85546875" style="11" customWidth="1"/>
    <col min="5390" max="5390" width="17.7109375" style="11" customWidth="1"/>
    <col min="5391" max="5391" width="19.28515625" style="11" customWidth="1"/>
    <col min="5392" max="5392" width="30.7109375" style="11" customWidth="1"/>
    <col min="5393" max="5393" width="43.85546875" style="11" customWidth="1"/>
    <col min="5394" max="5394" width="18.28515625" style="11" customWidth="1"/>
    <col min="5395" max="5395" width="18.140625" style="11" customWidth="1"/>
    <col min="5396" max="5396" width="18.5703125" style="11" customWidth="1"/>
    <col min="5397" max="5398" width="9.140625" style="11"/>
    <col min="5399" max="5399" width="19.140625" style="11" customWidth="1"/>
    <col min="5400" max="5400" width="9.85546875" style="11" bestFit="1" customWidth="1"/>
    <col min="5401" max="5629" width="9.140625" style="11"/>
    <col min="5630" max="5630" width="5" style="11" customWidth="1"/>
    <col min="5631" max="5631" width="14.42578125" style="11" customWidth="1"/>
    <col min="5632" max="5632" width="18.42578125" style="11" customWidth="1"/>
    <col min="5633" max="5633" width="5" style="11" customWidth="1"/>
    <col min="5634" max="5634" width="18.28515625" style="11" customWidth="1"/>
    <col min="5635" max="5635" width="4.85546875" style="11" customWidth="1"/>
    <col min="5636" max="5636" width="18.7109375" style="11" customWidth="1"/>
    <col min="5637" max="5637" width="20" style="11" customWidth="1"/>
    <col min="5638" max="5638" width="14.5703125" style="11" customWidth="1"/>
    <col min="5639" max="5639" width="14" style="11" customWidth="1"/>
    <col min="5640" max="5640" width="13.85546875" style="11" customWidth="1"/>
    <col min="5641" max="5641" width="14.28515625" style="11" customWidth="1"/>
    <col min="5642" max="5642" width="11.7109375" style="11" customWidth="1"/>
    <col min="5643" max="5643" width="11.140625" style="11" customWidth="1"/>
    <col min="5644" max="5644" width="11.85546875" style="11" customWidth="1"/>
    <col min="5645" max="5645" width="12.85546875" style="11" customWidth="1"/>
    <col min="5646" max="5646" width="17.7109375" style="11" customWidth="1"/>
    <col min="5647" max="5647" width="19.28515625" style="11" customWidth="1"/>
    <col min="5648" max="5648" width="30.7109375" style="11" customWidth="1"/>
    <col min="5649" max="5649" width="43.85546875" style="11" customWidth="1"/>
    <col min="5650" max="5650" width="18.28515625" style="11" customWidth="1"/>
    <col min="5651" max="5651" width="18.140625" style="11" customWidth="1"/>
    <col min="5652" max="5652" width="18.5703125" style="11" customWidth="1"/>
    <col min="5653" max="5654" width="9.140625" style="11"/>
    <col min="5655" max="5655" width="19.140625" style="11" customWidth="1"/>
    <col min="5656" max="5656" width="9.85546875" style="11" bestFit="1" customWidth="1"/>
    <col min="5657" max="5885" width="9.140625" style="11"/>
    <col min="5886" max="5886" width="5" style="11" customWidth="1"/>
    <col min="5887" max="5887" width="14.42578125" style="11" customWidth="1"/>
    <col min="5888" max="5888" width="18.42578125" style="11" customWidth="1"/>
    <col min="5889" max="5889" width="5" style="11" customWidth="1"/>
    <col min="5890" max="5890" width="18.28515625" style="11" customWidth="1"/>
    <col min="5891" max="5891" width="4.85546875" style="11" customWidth="1"/>
    <col min="5892" max="5892" width="18.7109375" style="11" customWidth="1"/>
    <col min="5893" max="5893" width="20" style="11" customWidth="1"/>
    <col min="5894" max="5894" width="14.5703125" style="11" customWidth="1"/>
    <col min="5895" max="5895" width="14" style="11" customWidth="1"/>
    <col min="5896" max="5896" width="13.85546875" style="11" customWidth="1"/>
    <col min="5897" max="5897" width="14.28515625" style="11" customWidth="1"/>
    <col min="5898" max="5898" width="11.7109375" style="11" customWidth="1"/>
    <col min="5899" max="5899" width="11.140625" style="11" customWidth="1"/>
    <col min="5900" max="5900" width="11.85546875" style="11" customWidth="1"/>
    <col min="5901" max="5901" width="12.85546875" style="11" customWidth="1"/>
    <col min="5902" max="5902" width="17.7109375" style="11" customWidth="1"/>
    <col min="5903" max="5903" width="19.28515625" style="11" customWidth="1"/>
    <col min="5904" max="5904" width="30.7109375" style="11" customWidth="1"/>
    <col min="5905" max="5905" width="43.85546875" style="11" customWidth="1"/>
    <col min="5906" max="5906" width="18.28515625" style="11" customWidth="1"/>
    <col min="5907" max="5907" width="18.140625" style="11" customWidth="1"/>
    <col min="5908" max="5908" width="18.5703125" style="11" customWidth="1"/>
    <col min="5909" max="5910" width="9.140625" style="11"/>
    <col min="5911" max="5911" width="19.140625" style="11" customWidth="1"/>
    <col min="5912" max="5912" width="9.85546875" style="11" bestFit="1" customWidth="1"/>
    <col min="5913" max="6141" width="9.140625" style="11"/>
    <col min="6142" max="6142" width="5" style="11" customWidth="1"/>
    <col min="6143" max="6143" width="14.42578125" style="11" customWidth="1"/>
    <col min="6144" max="6144" width="18.42578125" style="11" customWidth="1"/>
    <col min="6145" max="6145" width="5" style="11" customWidth="1"/>
    <col min="6146" max="6146" width="18.28515625" style="11" customWidth="1"/>
    <col min="6147" max="6147" width="4.85546875" style="11" customWidth="1"/>
    <col min="6148" max="6148" width="18.7109375" style="11" customWidth="1"/>
    <col min="6149" max="6149" width="20" style="11" customWidth="1"/>
    <col min="6150" max="6150" width="14.5703125" style="11" customWidth="1"/>
    <col min="6151" max="6151" width="14" style="11" customWidth="1"/>
    <col min="6152" max="6152" width="13.85546875" style="11" customWidth="1"/>
    <col min="6153" max="6153" width="14.28515625" style="11" customWidth="1"/>
    <col min="6154" max="6154" width="11.7109375" style="11" customWidth="1"/>
    <col min="6155" max="6155" width="11.140625" style="11" customWidth="1"/>
    <col min="6156" max="6156" width="11.85546875" style="11" customWidth="1"/>
    <col min="6157" max="6157" width="12.85546875" style="11" customWidth="1"/>
    <col min="6158" max="6158" width="17.7109375" style="11" customWidth="1"/>
    <col min="6159" max="6159" width="19.28515625" style="11" customWidth="1"/>
    <col min="6160" max="6160" width="30.7109375" style="11" customWidth="1"/>
    <col min="6161" max="6161" width="43.85546875" style="11" customWidth="1"/>
    <col min="6162" max="6162" width="18.28515625" style="11" customWidth="1"/>
    <col min="6163" max="6163" width="18.140625" style="11" customWidth="1"/>
    <col min="6164" max="6164" width="18.5703125" style="11" customWidth="1"/>
    <col min="6165" max="6166" width="9.140625" style="11"/>
    <col min="6167" max="6167" width="19.140625" style="11" customWidth="1"/>
    <col min="6168" max="6168" width="9.85546875" style="11" bestFit="1" customWidth="1"/>
    <col min="6169" max="6397" width="9.140625" style="11"/>
    <col min="6398" max="6398" width="5" style="11" customWidth="1"/>
    <col min="6399" max="6399" width="14.42578125" style="11" customWidth="1"/>
    <col min="6400" max="6400" width="18.42578125" style="11" customWidth="1"/>
    <col min="6401" max="6401" width="5" style="11" customWidth="1"/>
    <col min="6402" max="6402" width="18.28515625" style="11" customWidth="1"/>
    <col min="6403" max="6403" width="4.85546875" style="11" customWidth="1"/>
    <col min="6404" max="6404" width="18.7109375" style="11" customWidth="1"/>
    <col min="6405" max="6405" width="20" style="11" customWidth="1"/>
    <col min="6406" max="6406" width="14.5703125" style="11" customWidth="1"/>
    <col min="6407" max="6407" width="14" style="11" customWidth="1"/>
    <col min="6408" max="6408" width="13.85546875" style="11" customWidth="1"/>
    <col min="6409" max="6409" width="14.28515625" style="11" customWidth="1"/>
    <col min="6410" max="6410" width="11.7109375" style="11" customWidth="1"/>
    <col min="6411" max="6411" width="11.140625" style="11" customWidth="1"/>
    <col min="6412" max="6412" width="11.85546875" style="11" customWidth="1"/>
    <col min="6413" max="6413" width="12.85546875" style="11" customWidth="1"/>
    <col min="6414" max="6414" width="17.7109375" style="11" customWidth="1"/>
    <col min="6415" max="6415" width="19.28515625" style="11" customWidth="1"/>
    <col min="6416" max="6416" width="30.7109375" style="11" customWidth="1"/>
    <col min="6417" max="6417" width="43.85546875" style="11" customWidth="1"/>
    <col min="6418" max="6418" width="18.28515625" style="11" customWidth="1"/>
    <col min="6419" max="6419" width="18.140625" style="11" customWidth="1"/>
    <col min="6420" max="6420" width="18.5703125" style="11" customWidth="1"/>
    <col min="6421" max="6422" width="9.140625" style="11"/>
    <col min="6423" max="6423" width="19.140625" style="11" customWidth="1"/>
    <col min="6424" max="6424" width="9.85546875" style="11" bestFit="1" customWidth="1"/>
    <col min="6425" max="6653" width="9.140625" style="11"/>
    <col min="6654" max="6654" width="5" style="11" customWidth="1"/>
    <col min="6655" max="6655" width="14.42578125" style="11" customWidth="1"/>
    <col min="6656" max="6656" width="18.42578125" style="11" customWidth="1"/>
    <col min="6657" max="6657" width="5" style="11" customWidth="1"/>
    <col min="6658" max="6658" width="18.28515625" style="11" customWidth="1"/>
    <col min="6659" max="6659" width="4.85546875" style="11" customWidth="1"/>
    <col min="6660" max="6660" width="18.7109375" style="11" customWidth="1"/>
    <col min="6661" max="6661" width="20" style="11" customWidth="1"/>
    <col min="6662" max="6662" width="14.5703125" style="11" customWidth="1"/>
    <col min="6663" max="6663" width="14" style="11" customWidth="1"/>
    <col min="6664" max="6664" width="13.85546875" style="11" customWidth="1"/>
    <col min="6665" max="6665" width="14.28515625" style="11" customWidth="1"/>
    <col min="6666" max="6666" width="11.7109375" style="11" customWidth="1"/>
    <col min="6667" max="6667" width="11.140625" style="11" customWidth="1"/>
    <col min="6668" max="6668" width="11.85546875" style="11" customWidth="1"/>
    <col min="6669" max="6669" width="12.85546875" style="11" customWidth="1"/>
    <col min="6670" max="6670" width="17.7109375" style="11" customWidth="1"/>
    <col min="6671" max="6671" width="19.28515625" style="11" customWidth="1"/>
    <col min="6672" max="6672" width="30.7109375" style="11" customWidth="1"/>
    <col min="6673" max="6673" width="43.85546875" style="11" customWidth="1"/>
    <col min="6674" max="6674" width="18.28515625" style="11" customWidth="1"/>
    <col min="6675" max="6675" width="18.140625" style="11" customWidth="1"/>
    <col min="6676" max="6676" width="18.5703125" style="11" customWidth="1"/>
    <col min="6677" max="6678" width="9.140625" style="11"/>
    <col min="6679" max="6679" width="19.140625" style="11" customWidth="1"/>
    <col min="6680" max="6680" width="9.85546875" style="11" bestFit="1" customWidth="1"/>
    <col min="6681" max="6909" width="9.140625" style="11"/>
    <col min="6910" max="6910" width="5" style="11" customWidth="1"/>
    <col min="6911" max="6911" width="14.42578125" style="11" customWidth="1"/>
    <col min="6912" max="6912" width="18.42578125" style="11" customWidth="1"/>
    <col min="6913" max="6913" width="5" style="11" customWidth="1"/>
    <col min="6914" max="6914" width="18.28515625" style="11" customWidth="1"/>
    <col min="6915" max="6915" width="4.85546875" style="11" customWidth="1"/>
    <col min="6916" max="6916" width="18.7109375" style="11" customWidth="1"/>
    <col min="6917" max="6917" width="20" style="11" customWidth="1"/>
    <col min="6918" max="6918" width="14.5703125" style="11" customWidth="1"/>
    <col min="6919" max="6919" width="14" style="11" customWidth="1"/>
    <col min="6920" max="6920" width="13.85546875" style="11" customWidth="1"/>
    <col min="6921" max="6921" width="14.28515625" style="11" customWidth="1"/>
    <col min="6922" max="6922" width="11.7109375" style="11" customWidth="1"/>
    <col min="6923" max="6923" width="11.140625" style="11" customWidth="1"/>
    <col min="6924" max="6924" width="11.85546875" style="11" customWidth="1"/>
    <col min="6925" max="6925" width="12.85546875" style="11" customWidth="1"/>
    <col min="6926" max="6926" width="17.7109375" style="11" customWidth="1"/>
    <col min="6927" max="6927" width="19.28515625" style="11" customWidth="1"/>
    <col min="6928" max="6928" width="30.7109375" style="11" customWidth="1"/>
    <col min="6929" max="6929" width="43.85546875" style="11" customWidth="1"/>
    <col min="6930" max="6930" width="18.28515625" style="11" customWidth="1"/>
    <col min="6931" max="6931" width="18.140625" style="11" customWidth="1"/>
    <col min="6932" max="6932" width="18.5703125" style="11" customWidth="1"/>
    <col min="6933" max="6934" width="9.140625" style="11"/>
    <col min="6935" max="6935" width="19.140625" style="11" customWidth="1"/>
    <col min="6936" max="6936" width="9.85546875" style="11" bestFit="1" customWidth="1"/>
    <col min="6937" max="7165" width="9.140625" style="11"/>
    <col min="7166" max="7166" width="5" style="11" customWidth="1"/>
    <col min="7167" max="7167" width="14.42578125" style="11" customWidth="1"/>
    <col min="7168" max="7168" width="18.42578125" style="11" customWidth="1"/>
    <col min="7169" max="7169" width="5" style="11" customWidth="1"/>
    <col min="7170" max="7170" width="18.28515625" style="11" customWidth="1"/>
    <col min="7171" max="7171" width="4.85546875" style="11" customWidth="1"/>
    <col min="7172" max="7172" width="18.7109375" style="11" customWidth="1"/>
    <col min="7173" max="7173" width="20" style="11" customWidth="1"/>
    <col min="7174" max="7174" width="14.5703125" style="11" customWidth="1"/>
    <col min="7175" max="7175" width="14" style="11" customWidth="1"/>
    <col min="7176" max="7176" width="13.85546875" style="11" customWidth="1"/>
    <col min="7177" max="7177" width="14.28515625" style="11" customWidth="1"/>
    <col min="7178" max="7178" width="11.7109375" style="11" customWidth="1"/>
    <col min="7179" max="7179" width="11.140625" style="11" customWidth="1"/>
    <col min="7180" max="7180" width="11.85546875" style="11" customWidth="1"/>
    <col min="7181" max="7181" width="12.85546875" style="11" customWidth="1"/>
    <col min="7182" max="7182" width="17.7109375" style="11" customWidth="1"/>
    <col min="7183" max="7183" width="19.28515625" style="11" customWidth="1"/>
    <col min="7184" max="7184" width="30.7109375" style="11" customWidth="1"/>
    <col min="7185" max="7185" width="43.85546875" style="11" customWidth="1"/>
    <col min="7186" max="7186" width="18.28515625" style="11" customWidth="1"/>
    <col min="7187" max="7187" width="18.140625" style="11" customWidth="1"/>
    <col min="7188" max="7188" width="18.5703125" style="11" customWidth="1"/>
    <col min="7189" max="7190" width="9.140625" style="11"/>
    <col min="7191" max="7191" width="19.140625" style="11" customWidth="1"/>
    <col min="7192" max="7192" width="9.85546875" style="11" bestFit="1" customWidth="1"/>
    <col min="7193" max="7421" width="9.140625" style="11"/>
    <col min="7422" max="7422" width="5" style="11" customWidth="1"/>
    <col min="7423" max="7423" width="14.42578125" style="11" customWidth="1"/>
    <col min="7424" max="7424" width="18.42578125" style="11" customWidth="1"/>
    <col min="7425" max="7425" width="5" style="11" customWidth="1"/>
    <col min="7426" max="7426" width="18.28515625" style="11" customWidth="1"/>
    <col min="7427" max="7427" width="4.85546875" style="11" customWidth="1"/>
    <col min="7428" max="7428" width="18.7109375" style="11" customWidth="1"/>
    <col min="7429" max="7429" width="20" style="11" customWidth="1"/>
    <col min="7430" max="7430" width="14.5703125" style="11" customWidth="1"/>
    <col min="7431" max="7431" width="14" style="11" customWidth="1"/>
    <col min="7432" max="7432" width="13.85546875" style="11" customWidth="1"/>
    <col min="7433" max="7433" width="14.28515625" style="11" customWidth="1"/>
    <col min="7434" max="7434" width="11.7109375" style="11" customWidth="1"/>
    <col min="7435" max="7435" width="11.140625" style="11" customWidth="1"/>
    <col min="7436" max="7436" width="11.85546875" style="11" customWidth="1"/>
    <col min="7437" max="7437" width="12.85546875" style="11" customWidth="1"/>
    <col min="7438" max="7438" width="17.7109375" style="11" customWidth="1"/>
    <col min="7439" max="7439" width="19.28515625" style="11" customWidth="1"/>
    <col min="7440" max="7440" width="30.7109375" style="11" customWidth="1"/>
    <col min="7441" max="7441" width="43.85546875" style="11" customWidth="1"/>
    <col min="7442" max="7442" width="18.28515625" style="11" customWidth="1"/>
    <col min="7443" max="7443" width="18.140625" style="11" customWidth="1"/>
    <col min="7444" max="7444" width="18.5703125" style="11" customWidth="1"/>
    <col min="7445" max="7446" width="9.140625" style="11"/>
    <col min="7447" max="7447" width="19.140625" style="11" customWidth="1"/>
    <col min="7448" max="7448" width="9.85546875" style="11" bestFit="1" customWidth="1"/>
    <col min="7449" max="7677" width="9.140625" style="11"/>
    <col min="7678" max="7678" width="5" style="11" customWidth="1"/>
    <col min="7679" max="7679" width="14.42578125" style="11" customWidth="1"/>
    <col min="7680" max="7680" width="18.42578125" style="11" customWidth="1"/>
    <col min="7681" max="7681" width="5" style="11" customWidth="1"/>
    <col min="7682" max="7682" width="18.28515625" style="11" customWidth="1"/>
    <col min="7683" max="7683" width="4.85546875" style="11" customWidth="1"/>
    <col min="7684" max="7684" width="18.7109375" style="11" customWidth="1"/>
    <col min="7685" max="7685" width="20" style="11" customWidth="1"/>
    <col min="7686" max="7686" width="14.5703125" style="11" customWidth="1"/>
    <col min="7687" max="7687" width="14" style="11" customWidth="1"/>
    <col min="7688" max="7688" width="13.85546875" style="11" customWidth="1"/>
    <col min="7689" max="7689" width="14.28515625" style="11" customWidth="1"/>
    <col min="7690" max="7690" width="11.7109375" style="11" customWidth="1"/>
    <col min="7691" max="7691" width="11.140625" style="11" customWidth="1"/>
    <col min="7692" max="7692" width="11.85546875" style="11" customWidth="1"/>
    <col min="7693" max="7693" width="12.85546875" style="11" customWidth="1"/>
    <col min="7694" max="7694" width="17.7109375" style="11" customWidth="1"/>
    <col min="7695" max="7695" width="19.28515625" style="11" customWidth="1"/>
    <col min="7696" max="7696" width="30.7109375" style="11" customWidth="1"/>
    <col min="7697" max="7697" width="43.85546875" style="11" customWidth="1"/>
    <col min="7698" max="7698" width="18.28515625" style="11" customWidth="1"/>
    <col min="7699" max="7699" width="18.140625" style="11" customWidth="1"/>
    <col min="7700" max="7700" width="18.5703125" style="11" customWidth="1"/>
    <col min="7701" max="7702" width="9.140625" style="11"/>
    <col min="7703" max="7703" width="19.140625" style="11" customWidth="1"/>
    <col min="7704" max="7704" width="9.85546875" style="11" bestFit="1" customWidth="1"/>
    <col min="7705" max="7933" width="9.140625" style="11"/>
    <col min="7934" max="7934" width="5" style="11" customWidth="1"/>
    <col min="7935" max="7935" width="14.42578125" style="11" customWidth="1"/>
    <col min="7936" max="7936" width="18.42578125" style="11" customWidth="1"/>
    <col min="7937" max="7937" width="5" style="11" customWidth="1"/>
    <col min="7938" max="7938" width="18.28515625" style="11" customWidth="1"/>
    <col min="7939" max="7939" width="4.85546875" style="11" customWidth="1"/>
    <col min="7940" max="7940" width="18.7109375" style="11" customWidth="1"/>
    <col min="7941" max="7941" width="20" style="11" customWidth="1"/>
    <col min="7942" max="7942" width="14.5703125" style="11" customWidth="1"/>
    <col min="7943" max="7943" width="14" style="11" customWidth="1"/>
    <col min="7944" max="7944" width="13.85546875" style="11" customWidth="1"/>
    <col min="7945" max="7945" width="14.28515625" style="11" customWidth="1"/>
    <col min="7946" max="7946" width="11.7109375" style="11" customWidth="1"/>
    <col min="7947" max="7947" width="11.140625" style="11" customWidth="1"/>
    <col min="7948" max="7948" width="11.85546875" style="11" customWidth="1"/>
    <col min="7949" max="7949" width="12.85546875" style="11" customWidth="1"/>
    <col min="7950" max="7950" width="17.7109375" style="11" customWidth="1"/>
    <col min="7951" max="7951" width="19.28515625" style="11" customWidth="1"/>
    <col min="7952" max="7952" width="30.7109375" style="11" customWidth="1"/>
    <col min="7953" max="7953" width="43.85546875" style="11" customWidth="1"/>
    <col min="7954" max="7954" width="18.28515625" style="11" customWidth="1"/>
    <col min="7955" max="7955" width="18.140625" style="11" customWidth="1"/>
    <col min="7956" max="7956" width="18.5703125" style="11" customWidth="1"/>
    <col min="7957" max="7958" width="9.140625" style="11"/>
    <col min="7959" max="7959" width="19.140625" style="11" customWidth="1"/>
    <col min="7960" max="7960" width="9.85546875" style="11" bestFit="1" customWidth="1"/>
    <col min="7961" max="8189" width="9.140625" style="11"/>
    <col min="8190" max="8190" width="5" style="11" customWidth="1"/>
    <col min="8191" max="8191" width="14.42578125" style="11" customWidth="1"/>
    <col min="8192" max="8192" width="18.42578125" style="11" customWidth="1"/>
    <col min="8193" max="8193" width="5" style="11" customWidth="1"/>
    <col min="8194" max="8194" width="18.28515625" style="11" customWidth="1"/>
    <col min="8195" max="8195" width="4.85546875" style="11" customWidth="1"/>
    <col min="8196" max="8196" width="18.7109375" style="11" customWidth="1"/>
    <col min="8197" max="8197" width="20" style="11" customWidth="1"/>
    <col min="8198" max="8198" width="14.5703125" style="11" customWidth="1"/>
    <col min="8199" max="8199" width="14" style="11" customWidth="1"/>
    <col min="8200" max="8200" width="13.85546875" style="11" customWidth="1"/>
    <col min="8201" max="8201" width="14.28515625" style="11" customWidth="1"/>
    <col min="8202" max="8202" width="11.7109375" style="11" customWidth="1"/>
    <col min="8203" max="8203" width="11.140625" style="11" customWidth="1"/>
    <col min="8204" max="8204" width="11.85546875" style="11" customWidth="1"/>
    <col min="8205" max="8205" width="12.85546875" style="11" customWidth="1"/>
    <col min="8206" max="8206" width="17.7109375" style="11" customWidth="1"/>
    <col min="8207" max="8207" width="19.28515625" style="11" customWidth="1"/>
    <col min="8208" max="8208" width="30.7109375" style="11" customWidth="1"/>
    <col min="8209" max="8209" width="43.85546875" style="11" customWidth="1"/>
    <col min="8210" max="8210" width="18.28515625" style="11" customWidth="1"/>
    <col min="8211" max="8211" width="18.140625" style="11" customWidth="1"/>
    <col min="8212" max="8212" width="18.5703125" style="11" customWidth="1"/>
    <col min="8213" max="8214" width="9.140625" style="11"/>
    <col min="8215" max="8215" width="19.140625" style="11" customWidth="1"/>
    <col min="8216" max="8216" width="9.85546875" style="11" bestFit="1" customWidth="1"/>
    <col min="8217" max="8445" width="9.140625" style="11"/>
    <col min="8446" max="8446" width="5" style="11" customWidth="1"/>
    <col min="8447" max="8447" width="14.42578125" style="11" customWidth="1"/>
    <col min="8448" max="8448" width="18.42578125" style="11" customWidth="1"/>
    <col min="8449" max="8449" width="5" style="11" customWidth="1"/>
    <col min="8450" max="8450" width="18.28515625" style="11" customWidth="1"/>
    <col min="8451" max="8451" width="4.85546875" style="11" customWidth="1"/>
    <col min="8452" max="8452" width="18.7109375" style="11" customWidth="1"/>
    <col min="8453" max="8453" width="20" style="11" customWidth="1"/>
    <col min="8454" max="8454" width="14.5703125" style="11" customWidth="1"/>
    <col min="8455" max="8455" width="14" style="11" customWidth="1"/>
    <col min="8456" max="8456" width="13.85546875" style="11" customWidth="1"/>
    <col min="8457" max="8457" width="14.28515625" style="11" customWidth="1"/>
    <col min="8458" max="8458" width="11.7109375" style="11" customWidth="1"/>
    <col min="8459" max="8459" width="11.140625" style="11" customWidth="1"/>
    <col min="8460" max="8460" width="11.85546875" style="11" customWidth="1"/>
    <col min="8461" max="8461" width="12.85546875" style="11" customWidth="1"/>
    <col min="8462" max="8462" width="17.7109375" style="11" customWidth="1"/>
    <col min="8463" max="8463" width="19.28515625" style="11" customWidth="1"/>
    <col min="8464" max="8464" width="30.7109375" style="11" customWidth="1"/>
    <col min="8465" max="8465" width="43.85546875" style="11" customWidth="1"/>
    <col min="8466" max="8466" width="18.28515625" style="11" customWidth="1"/>
    <col min="8467" max="8467" width="18.140625" style="11" customWidth="1"/>
    <col min="8468" max="8468" width="18.5703125" style="11" customWidth="1"/>
    <col min="8469" max="8470" width="9.140625" style="11"/>
    <col min="8471" max="8471" width="19.140625" style="11" customWidth="1"/>
    <col min="8472" max="8472" width="9.85546875" style="11" bestFit="1" customWidth="1"/>
    <col min="8473" max="8701" width="9.140625" style="11"/>
    <col min="8702" max="8702" width="5" style="11" customWidth="1"/>
    <col min="8703" max="8703" width="14.42578125" style="11" customWidth="1"/>
    <col min="8704" max="8704" width="18.42578125" style="11" customWidth="1"/>
    <col min="8705" max="8705" width="5" style="11" customWidth="1"/>
    <col min="8706" max="8706" width="18.28515625" style="11" customWidth="1"/>
    <col min="8707" max="8707" width="4.85546875" style="11" customWidth="1"/>
    <col min="8708" max="8708" width="18.7109375" style="11" customWidth="1"/>
    <col min="8709" max="8709" width="20" style="11" customWidth="1"/>
    <col min="8710" max="8710" width="14.5703125" style="11" customWidth="1"/>
    <col min="8711" max="8711" width="14" style="11" customWidth="1"/>
    <col min="8712" max="8712" width="13.85546875" style="11" customWidth="1"/>
    <col min="8713" max="8713" width="14.28515625" style="11" customWidth="1"/>
    <col min="8714" max="8714" width="11.7109375" style="11" customWidth="1"/>
    <col min="8715" max="8715" width="11.140625" style="11" customWidth="1"/>
    <col min="8716" max="8716" width="11.85546875" style="11" customWidth="1"/>
    <col min="8717" max="8717" width="12.85546875" style="11" customWidth="1"/>
    <col min="8718" max="8718" width="17.7109375" style="11" customWidth="1"/>
    <col min="8719" max="8719" width="19.28515625" style="11" customWidth="1"/>
    <col min="8720" max="8720" width="30.7109375" style="11" customWidth="1"/>
    <col min="8721" max="8721" width="43.85546875" style="11" customWidth="1"/>
    <col min="8722" max="8722" width="18.28515625" style="11" customWidth="1"/>
    <col min="8723" max="8723" width="18.140625" style="11" customWidth="1"/>
    <col min="8724" max="8724" width="18.5703125" style="11" customWidth="1"/>
    <col min="8725" max="8726" width="9.140625" style="11"/>
    <col min="8727" max="8727" width="19.140625" style="11" customWidth="1"/>
    <col min="8728" max="8728" width="9.85546875" style="11" bestFit="1" customWidth="1"/>
    <col min="8729" max="8957" width="9.140625" style="11"/>
    <col min="8958" max="8958" width="5" style="11" customWidth="1"/>
    <col min="8959" max="8959" width="14.42578125" style="11" customWidth="1"/>
    <col min="8960" max="8960" width="18.42578125" style="11" customWidth="1"/>
    <col min="8961" max="8961" width="5" style="11" customWidth="1"/>
    <col min="8962" max="8962" width="18.28515625" style="11" customWidth="1"/>
    <col min="8963" max="8963" width="4.85546875" style="11" customWidth="1"/>
    <col min="8964" max="8964" width="18.7109375" style="11" customWidth="1"/>
    <col min="8965" max="8965" width="20" style="11" customWidth="1"/>
    <col min="8966" max="8966" width="14.5703125" style="11" customWidth="1"/>
    <col min="8967" max="8967" width="14" style="11" customWidth="1"/>
    <col min="8968" max="8968" width="13.85546875" style="11" customWidth="1"/>
    <col min="8969" max="8969" width="14.28515625" style="11" customWidth="1"/>
    <col min="8970" max="8970" width="11.7109375" style="11" customWidth="1"/>
    <col min="8971" max="8971" width="11.140625" style="11" customWidth="1"/>
    <col min="8972" max="8972" width="11.85546875" style="11" customWidth="1"/>
    <col min="8973" max="8973" width="12.85546875" style="11" customWidth="1"/>
    <col min="8974" max="8974" width="17.7109375" style="11" customWidth="1"/>
    <col min="8975" max="8975" width="19.28515625" style="11" customWidth="1"/>
    <col min="8976" max="8976" width="30.7109375" style="11" customWidth="1"/>
    <col min="8977" max="8977" width="43.85546875" style="11" customWidth="1"/>
    <col min="8978" max="8978" width="18.28515625" style="11" customWidth="1"/>
    <col min="8979" max="8979" width="18.140625" style="11" customWidth="1"/>
    <col min="8980" max="8980" width="18.5703125" style="11" customWidth="1"/>
    <col min="8981" max="8982" width="9.140625" style="11"/>
    <col min="8983" max="8983" width="19.140625" style="11" customWidth="1"/>
    <col min="8984" max="8984" width="9.85546875" style="11" bestFit="1" customWidth="1"/>
    <col min="8985" max="9213" width="9.140625" style="11"/>
    <col min="9214" max="9214" width="5" style="11" customWidth="1"/>
    <col min="9215" max="9215" width="14.42578125" style="11" customWidth="1"/>
    <col min="9216" max="9216" width="18.42578125" style="11" customWidth="1"/>
    <col min="9217" max="9217" width="5" style="11" customWidth="1"/>
    <col min="9218" max="9218" width="18.28515625" style="11" customWidth="1"/>
    <col min="9219" max="9219" width="4.85546875" style="11" customWidth="1"/>
    <col min="9220" max="9220" width="18.7109375" style="11" customWidth="1"/>
    <col min="9221" max="9221" width="20" style="11" customWidth="1"/>
    <col min="9222" max="9222" width="14.5703125" style="11" customWidth="1"/>
    <col min="9223" max="9223" width="14" style="11" customWidth="1"/>
    <col min="9224" max="9224" width="13.85546875" style="11" customWidth="1"/>
    <col min="9225" max="9225" width="14.28515625" style="11" customWidth="1"/>
    <col min="9226" max="9226" width="11.7109375" style="11" customWidth="1"/>
    <col min="9227" max="9227" width="11.140625" style="11" customWidth="1"/>
    <col min="9228" max="9228" width="11.85546875" style="11" customWidth="1"/>
    <col min="9229" max="9229" width="12.85546875" style="11" customWidth="1"/>
    <col min="9230" max="9230" width="17.7109375" style="11" customWidth="1"/>
    <col min="9231" max="9231" width="19.28515625" style="11" customWidth="1"/>
    <col min="9232" max="9232" width="30.7109375" style="11" customWidth="1"/>
    <col min="9233" max="9233" width="43.85546875" style="11" customWidth="1"/>
    <col min="9234" max="9234" width="18.28515625" style="11" customWidth="1"/>
    <col min="9235" max="9235" width="18.140625" style="11" customWidth="1"/>
    <col min="9236" max="9236" width="18.5703125" style="11" customWidth="1"/>
    <col min="9237" max="9238" width="9.140625" style="11"/>
    <col min="9239" max="9239" width="19.140625" style="11" customWidth="1"/>
    <col min="9240" max="9240" width="9.85546875" style="11" bestFit="1" customWidth="1"/>
    <col min="9241" max="9469" width="9.140625" style="11"/>
    <col min="9470" max="9470" width="5" style="11" customWidth="1"/>
    <col min="9471" max="9471" width="14.42578125" style="11" customWidth="1"/>
    <col min="9472" max="9472" width="18.42578125" style="11" customWidth="1"/>
    <col min="9473" max="9473" width="5" style="11" customWidth="1"/>
    <col min="9474" max="9474" width="18.28515625" style="11" customWidth="1"/>
    <col min="9475" max="9475" width="4.85546875" style="11" customWidth="1"/>
    <col min="9476" max="9476" width="18.7109375" style="11" customWidth="1"/>
    <col min="9477" max="9477" width="20" style="11" customWidth="1"/>
    <col min="9478" max="9478" width="14.5703125" style="11" customWidth="1"/>
    <col min="9479" max="9479" width="14" style="11" customWidth="1"/>
    <col min="9480" max="9480" width="13.85546875" style="11" customWidth="1"/>
    <col min="9481" max="9481" width="14.28515625" style="11" customWidth="1"/>
    <col min="9482" max="9482" width="11.7109375" style="11" customWidth="1"/>
    <col min="9483" max="9483" width="11.140625" style="11" customWidth="1"/>
    <col min="9484" max="9484" width="11.85546875" style="11" customWidth="1"/>
    <col min="9485" max="9485" width="12.85546875" style="11" customWidth="1"/>
    <col min="9486" max="9486" width="17.7109375" style="11" customWidth="1"/>
    <col min="9487" max="9487" width="19.28515625" style="11" customWidth="1"/>
    <col min="9488" max="9488" width="30.7109375" style="11" customWidth="1"/>
    <col min="9489" max="9489" width="43.85546875" style="11" customWidth="1"/>
    <col min="9490" max="9490" width="18.28515625" style="11" customWidth="1"/>
    <col min="9491" max="9491" width="18.140625" style="11" customWidth="1"/>
    <col min="9492" max="9492" width="18.5703125" style="11" customWidth="1"/>
    <col min="9493" max="9494" width="9.140625" style="11"/>
    <col min="9495" max="9495" width="19.140625" style="11" customWidth="1"/>
    <col min="9496" max="9496" width="9.85546875" style="11" bestFit="1" customWidth="1"/>
    <col min="9497" max="9725" width="9.140625" style="11"/>
    <col min="9726" max="9726" width="5" style="11" customWidth="1"/>
    <col min="9727" max="9727" width="14.42578125" style="11" customWidth="1"/>
    <col min="9728" max="9728" width="18.42578125" style="11" customWidth="1"/>
    <col min="9729" max="9729" width="5" style="11" customWidth="1"/>
    <col min="9730" max="9730" width="18.28515625" style="11" customWidth="1"/>
    <col min="9731" max="9731" width="4.85546875" style="11" customWidth="1"/>
    <col min="9732" max="9732" width="18.7109375" style="11" customWidth="1"/>
    <col min="9733" max="9733" width="20" style="11" customWidth="1"/>
    <col min="9734" max="9734" width="14.5703125" style="11" customWidth="1"/>
    <col min="9735" max="9735" width="14" style="11" customWidth="1"/>
    <col min="9736" max="9736" width="13.85546875" style="11" customWidth="1"/>
    <col min="9737" max="9737" width="14.28515625" style="11" customWidth="1"/>
    <col min="9738" max="9738" width="11.7109375" style="11" customWidth="1"/>
    <col min="9739" max="9739" width="11.140625" style="11" customWidth="1"/>
    <col min="9740" max="9740" width="11.85546875" style="11" customWidth="1"/>
    <col min="9741" max="9741" width="12.85546875" style="11" customWidth="1"/>
    <col min="9742" max="9742" width="17.7109375" style="11" customWidth="1"/>
    <col min="9743" max="9743" width="19.28515625" style="11" customWidth="1"/>
    <col min="9744" max="9744" width="30.7109375" style="11" customWidth="1"/>
    <col min="9745" max="9745" width="43.85546875" style="11" customWidth="1"/>
    <col min="9746" max="9746" width="18.28515625" style="11" customWidth="1"/>
    <col min="9747" max="9747" width="18.140625" style="11" customWidth="1"/>
    <col min="9748" max="9748" width="18.5703125" style="11" customWidth="1"/>
    <col min="9749" max="9750" width="9.140625" style="11"/>
    <col min="9751" max="9751" width="19.140625" style="11" customWidth="1"/>
    <col min="9752" max="9752" width="9.85546875" style="11" bestFit="1" customWidth="1"/>
    <col min="9753" max="9981" width="9.140625" style="11"/>
    <col min="9982" max="9982" width="5" style="11" customWidth="1"/>
    <col min="9983" max="9983" width="14.42578125" style="11" customWidth="1"/>
    <col min="9984" max="9984" width="18.42578125" style="11" customWidth="1"/>
    <col min="9985" max="9985" width="5" style="11" customWidth="1"/>
    <col min="9986" max="9986" width="18.28515625" style="11" customWidth="1"/>
    <col min="9987" max="9987" width="4.85546875" style="11" customWidth="1"/>
    <col min="9988" max="9988" width="18.7109375" style="11" customWidth="1"/>
    <col min="9989" max="9989" width="20" style="11" customWidth="1"/>
    <col min="9990" max="9990" width="14.5703125" style="11" customWidth="1"/>
    <col min="9991" max="9991" width="14" style="11" customWidth="1"/>
    <col min="9992" max="9992" width="13.85546875" style="11" customWidth="1"/>
    <col min="9993" max="9993" width="14.28515625" style="11" customWidth="1"/>
    <col min="9994" max="9994" width="11.7109375" style="11" customWidth="1"/>
    <col min="9995" max="9995" width="11.140625" style="11" customWidth="1"/>
    <col min="9996" max="9996" width="11.85546875" style="11" customWidth="1"/>
    <col min="9997" max="9997" width="12.85546875" style="11" customWidth="1"/>
    <col min="9998" max="9998" width="17.7109375" style="11" customWidth="1"/>
    <col min="9999" max="9999" width="19.28515625" style="11" customWidth="1"/>
    <col min="10000" max="10000" width="30.7109375" style="11" customWidth="1"/>
    <col min="10001" max="10001" width="43.85546875" style="11" customWidth="1"/>
    <col min="10002" max="10002" width="18.28515625" style="11" customWidth="1"/>
    <col min="10003" max="10003" width="18.140625" style="11" customWidth="1"/>
    <col min="10004" max="10004" width="18.5703125" style="11" customWidth="1"/>
    <col min="10005" max="10006" width="9.140625" style="11"/>
    <col min="10007" max="10007" width="19.140625" style="11" customWidth="1"/>
    <col min="10008" max="10008" width="9.85546875" style="11" bestFit="1" customWidth="1"/>
    <col min="10009" max="10237" width="9.140625" style="11"/>
    <col min="10238" max="10238" width="5" style="11" customWidth="1"/>
    <col min="10239" max="10239" width="14.42578125" style="11" customWidth="1"/>
    <col min="10240" max="10240" width="18.42578125" style="11" customWidth="1"/>
    <col min="10241" max="10241" width="5" style="11" customWidth="1"/>
    <col min="10242" max="10242" width="18.28515625" style="11" customWidth="1"/>
    <col min="10243" max="10243" width="4.85546875" style="11" customWidth="1"/>
    <col min="10244" max="10244" width="18.7109375" style="11" customWidth="1"/>
    <col min="10245" max="10245" width="20" style="11" customWidth="1"/>
    <col min="10246" max="10246" width="14.5703125" style="11" customWidth="1"/>
    <col min="10247" max="10247" width="14" style="11" customWidth="1"/>
    <col min="10248" max="10248" width="13.85546875" style="11" customWidth="1"/>
    <col min="10249" max="10249" width="14.28515625" style="11" customWidth="1"/>
    <col min="10250" max="10250" width="11.7109375" style="11" customWidth="1"/>
    <col min="10251" max="10251" width="11.140625" style="11" customWidth="1"/>
    <col min="10252" max="10252" width="11.85546875" style="11" customWidth="1"/>
    <col min="10253" max="10253" width="12.85546875" style="11" customWidth="1"/>
    <col min="10254" max="10254" width="17.7109375" style="11" customWidth="1"/>
    <col min="10255" max="10255" width="19.28515625" style="11" customWidth="1"/>
    <col min="10256" max="10256" width="30.7109375" style="11" customWidth="1"/>
    <col min="10257" max="10257" width="43.85546875" style="11" customWidth="1"/>
    <col min="10258" max="10258" width="18.28515625" style="11" customWidth="1"/>
    <col min="10259" max="10259" width="18.140625" style="11" customWidth="1"/>
    <col min="10260" max="10260" width="18.5703125" style="11" customWidth="1"/>
    <col min="10261" max="10262" width="9.140625" style="11"/>
    <col min="10263" max="10263" width="19.140625" style="11" customWidth="1"/>
    <col min="10264" max="10264" width="9.85546875" style="11" bestFit="1" customWidth="1"/>
    <col min="10265" max="10493" width="9.140625" style="11"/>
    <col min="10494" max="10494" width="5" style="11" customWidth="1"/>
    <col min="10495" max="10495" width="14.42578125" style="11" customWidth="1"/>
    <col min="10496" max="10496" width="18.42578125" style="11" customWidth="1"/>
    <col min="10497" max="10497" width="5" style="11" customWidth="1"/>
    <col min="10498" max="10498" width="18.28515625" style="11" customWidth="1"/>
    <col min="10499" max="10499" width="4.85546875" style="11" customWidth="1"/>
    <col min="10500" max="10500" width="18.7109375" style="11" customWidth="1"/>
    <col min="10501" max="10501" width="20" style="11" customWidth="1"/>
    <col min="10502" max="10502" width="14.5703125" style="11" customWidth="1"/>
    <col min="10503" max="10503" width="14" style="11" customWidth="1"/>
    <col min="10504" max="10504" width="13.85546875" style="11" customWidth="1"/>
    <col min="10505" max="10505" width="14.28515625" style="11" customWidth="1"/>
    <col min="10506" max="10506" width="11.7109375" style="11" customWidth="1"/>
    <col min="10507" max="10507" width="11.140625" style="11" customWidth="1"/>
    <col min="10508" max="10508" width="11.85546875" style="11" customWidth="1"/>
    <col min="10509" max="10509" width="12.85546875" style="11" customWidth="1"/>
    <col min="10510" max="10510" width="17.7109375" style="11" customWidth="1"/>
    <col min="10511" max="10511" width="19.28515625" style="11" customWidth="1"/>
    <col min="10512" max="10512" width="30.7109375" style="11" customWidth="1"/>
    <col min="10513" max="10513" width="43.85546875" style="11" customWidth="1"/>
    <col min="10514" max="10514" width="18.28515625" style="11" customWidth="1"/>
    <col min="10515" max="10515" width="18.140625" style="11" customWidth="1"/>
    <col min="10516" max="10516" width="18.5703125" style="11" customWidth="1"/>
    <col min="10517" max="10518" width="9.140625" style="11"/>
    <col min="10519" max="10519" width="19.140625" style="11" customWidth="1"/>
    <col min="10520" max="10520" width="9.85546875" style="11" bestFit="1" customWidth="1"/>
    <col min="10521" max="10749" width="9.140625" style="11"/>
    <col min="10750" max="10750" width="5" style="11" customWidth="1"/>
    <col min="10751" max="10751" width="14.42578125" style="11" customWidth="1"/>
    <col min="10752" max="10752" width="18.42578125" style="11" customWidth="1"/>
    <col min="10753" max="10753" width="5" style="11" customWidth="1"/>
    <col min="10754" max="10754" width="18.28515625" style="11" customWidth="1"/>
    <col min="10755" max="10755" width="4.85546875" style="11" customWidth="1"/>
    <col min="10756" max="10756" width="18.7109375" style="11" customWidth="1"/>
    <col min="10757" max="10757" width="20" style="11" customWidth="1"/>
    <col min="10758" max="10758" width="14.5703125" style="11" customWidth="1"/>
    <col min="10759" max="10759" width="14" style="11" customWidth="1"/>
    <col min="10760" max="10760" width="13.85546875" style="11" customWidth="1"/>
    <col min="10761" max="10761" width="14.28515625" style="11" customWidth="1"/>
    <col min="10762" max="10762" width="11.7109375" style="11" customWidth="1"/>
    <col min="10763" max="10763" width="11.140625" style="11" customWidth="1"/>
    <col min="10764" max="10764" width="11.85546875" style="11" customWidth="1"/>
    <col min="10765" max="10765" width="12.85546875" style="11" customWidth="1"/>
    <col min="10766" max="10766" width="17.7109375" style="11" customWidth="1"/>
    <col min="10767" max="10767" width="19.28515625" style="11" customWidth="1"/>
    <col min="10768" max="10768" width="30.7109375" style="11" customWidth="1"/>
    <col min="10769" max="10769" width="43.85546875" style="11" customWidth="1"/>
    <col min="10770" max="10770" width="18.28515625" style="11" customWidth="1"/>
    <col min="10771" max="10771" width="18.140625" style="11" customWidth="1"/>
    <col min="10772" max="10772" width="18.5703125" style="11" customWidth="1"/>
    <col min="10773" max="10774" width="9.140625" style="11"/>
    <col min="10775" max="10775" width="19.140625" style="11" customWidth="1"/>
    <col min="10776" max="10776" width="9.85546875" style="11" bestFit="1" customWidth="1"/>
    <col min="10777" max="11005" width="9.140625" style="11"/>
    <col min="11006" max="11006" width="5" style="11" customWidth="1"/>
    <col min="11007" max="11007" width="14.42578125" style="11" customWidth="1"/>
    <col min="11008" max="11008" width="18.42578125" style="11" customWidth="1"/>
    <col min="11009" max="11009" width="5" style="11" customWidth="1"/>
    <col min="11010" max="11010" width="18.28515625" style="11" customWidth="1"/>
    <col min="11011" max="11011" width="4.85546875" style="11" customWidth="1"/>
    <col min="11012" max="11012" width="18.7109375" style="11" customWidth="1"/>
    <col min="11013" max="11013" width="20" style="11" customWidth="1"/>
    <col min="11014" max="11014" width="14.5703125" style="11" customWidth="1"/>
    <col min="11015" max="11015" width="14" style="11" customWidth="1"/>
    <col min="11016" max="11016" width="13.85546875" style="11" customWidth="1"/>
    <col min="11017" max="11017" width="14.28515625" style="11" customWidth="1"/>
    <col min="11018" max="11018" width="11.7109375" style="11" customWidth="1"/>
    <col min="11019" max="11019" width="11.140625" style="11" customWidth="1"/>
    <col min="11020" max="11020" width="11.85546875" style="11" customWidth="1"/>
    <col min="11021" max="11021" width="12.85546875" style="11" customWidth="1"/>
    <col min="11022" max="11022" width="17.7109375" style="11" customWidth="1"/>
    <col min="11023" max="11023" width="19.28515625" style="11" customWidth="1"/>
    <col min="11024" max="11024" width="30.7109375" style="11" customWidth="1"/>
    <col min="11025" max="11025" width="43.85546875" style="11" customWidth="1"/>
    <col min="11026" max="11026" width="18.28515625" style="11" customWidth="1"/>
    <col min="11027" max="11027" width="18.140625" style="11" customWidth="1"/>
    <col min="11028" max="11028" width="18.5703125" style="11" customWidth="1"/>
    <col min="11029" max="11030" width="9.140625" style="11"/>
    <col min="11031" max="11031" width="19.140625" style="11" customWidth="1"/>
    <col min="11032" max="11032" width="9.85546875" style="11" bestFit="1" customWidth="1"/>
    <col min="11033" max="11261" width="9.140625" style="11"/>
    <col min="11262" max="11262" width="5" style="11" customWidth="1"/>
    <col min="11263" max="11263" width="14.42578125" style="11" customWidth="1"/>
    <col min="11264" max="11264" width="18.42578125" style="11" customWidth="1"/>
    <col min="11265" max="11265" width="5" style="11" customWidth="1"/>
    <col min="11266" max="11266" width="18.28515625" style="11" customWidth="1"/>
    <col min="11267" max="11267" width="4.85546875" style="11" customWidth="1"/>
    <col min="11268" max="11268" width="18.7109375" style="11" customWidth="1"/>
    <col min="11269" max="11269" width="20" style="11" customWidth="1"/>
    <col min="11270" max="11270" width="14.5703125" style="11" customWidth="1"/>
    <col min="11271" max="11271" width="14" style="11" customWidth="1"/>
    <col min="11272" max="11272" width="13.85546875" style="11" customWidth="1"/>
    <col min="11273" max="11273" width="14.28515625" style="11" customWidth="1"/>
    <col min="11274" max="11274" width="11.7109375" style="11" customWidth="1"/>
    <col min="11275" max="11275" width="11.140625" style="11" customWidth="1"/>
    <col min="11276" max="11276" width="11.85546875" style="11" customWidth="1"/>
    <col min="11277" max="11277" width="12.85546875" style="11" customWidth="1"/>
    <col min="11278" max="11278" width="17.7109375" style="11" customWidth="1"/>
    <col min="11279" max="11279" width="19.28515625" style="11" customWidth="1"/>
    <col min="11280" max="11280" width="30.7109375" style="11" customWidth="1"/>
    <col min="11281" max="11281" width="43.85546875" style="11" customWidth="1"/>
    <col min="11282" max="11282" width="18.28515625" style="11" customWidth="1"/>
    <col min="11283" max="11283" width="18.140625" style="11" customWidth="1"/>
    <col min="11284" max="11284" width="18.5703125" style="11" customWidth="1"/>
    <col min="11285" max="11286" width="9.140625" style="11"/>
    <col min="11287" max="11287" width="19.140625" style="11" customWidth="1"/>
    <col min="11288" max="11288" width="9.85546875" style="11" bestFit="1" customWidth="1"/>
    <col min="11289" max="11517" width="9.140625" style="11"/>
    <col min="11518" max="11518" width="5" style="11" customWidth="1"/>
    <col min="11519" max="11519" width="14.42578125" style="11" customWidth="1"/>
    <col min="11520" max="11520" width="18.42578125" style="11" customWidth="1"/>
    <col min="11521" max="11521" width="5" style="11" customWidth="1"/>
    <col min="11522" max="11522" width="18.28515625" style="11" customWidth="1"/>
    <col min="11523" max="11523" width="4.85546875" style="11" customWidth="1"/>
    <col min="11524" max="11524" width="18.7109375" style="11" customWidth="1"/>
    <col min="11525" max="11525" width="20" style="11" customWidth="1"/>
    <col min="11526" max="11526" width="14.5703125" style="11" customWidth="1"/>
    <col min="11527" max="11527" width="14" style="11" customWidth="1"/>
    <col min="11528" max="11528" width="13.85546875" style="11" customWidth="1"/>
    <col min="11529" max="11529" width="14.28515625" style="11" customWidth="1"/>
    <col min="11530" max="11530" width="11.7109375" style="11" customWidth="1"/>
    <col min="11531" max="11531" width="11.140625" style="11" customWidth="1"/>
    <col min="11532" max="11532" width="11.85546875" style="11" customWidth="1"/>
    <col min="11533" max="11533" width="12.85546875" style="11" customWidth="1"/>
    <col min="11534" max="11534" width="17.7109375" style="11" customWidth="1"/>
    <col min="11535" max="11535" width="19.28515625" style="11" customWidth="1"/>
    <col min="11536" max="11536" width="30.7109375" style="11" customWidth="1"/>
    <col min="11537" max="11537" width="43.85546875" style="11" customWidth="1"/>
    <col min="11538" max="11538" width="18.28515625" style="11" customWidth="1"/>
    <col min="11539" max="11539" width="18.140625" style="11" customWidth="1"/>
    <col min="11540" max="11540" width="18.5703125" style="11" customWidth="1"/>
    <col min="11541" max="11542" width="9.140625" style="11"/>
    <col min="11543" max="11543" width="19.140625" style="11" customWidth="1"/>
    <col min="11544" max="11544" width="9.85546875" style="11" bestFit="1" customWidth="1"/>
    <col min="11545" max="11773" width="9.140625" style="11"/>
    <col min="11774" max="11774" width="5" style="11" customWidth="1"/>
    <col min="11775" max="11775" width="14.42578125" style="11" customWidth="1"/>
    <col min="11776" max="11776" width="18.42578125" style="11" customWidth="1"/>
    <col min="11777" max="11777" width="5" style="11" customWidth="1"/>
    <col min="11778" max="11778" width="18.28515625" style="11" customWidth="1"/>
    <col min="11779" max="11779" width="4.85546875" style="11" customWidth="1"/>
    <col min="11780" max="11780" width="18.7109375" style="11" customWidth="1"/>
    <col min="11781" max="11781" width="20" style="11" customWidth="1"/>
    <col min="11782" max="11782" width="14.5703125" style="11" customWidth="1"/>
    <col min="11783" max="11783" width="14" style="11" customWidth="1"/>
    <col min="11784" max="11784" width="13.85546875" style="11" customWidth="1"/>
    <col min="11785" max="11785" width="14.28515625" style="11" customWidth="1"/>
    <col min="11786" max="11786" width="11.7109375" style="11" customWidth="1"/>
    <col min="11787" max="11787" width="11.140625" style="11" customWidth="1"/>
    <col min="11788" max="11788" width="11.85546875" style="11" customWidth="1"/>
    <col min="11789" max="11789" width="12.85546875" style="11" customWidth="1"/>
    <col min="11790" max="11790" width="17.7109375" style="11" customWidth="1"/>
    <col min="11791" max="11791" width="19.28515625" style="11" customWidth="1"/>
    <col min="11792" max="11792" width="30.7109375" style="11" customWidth="1"/>
    <col min="11793" max="11793" width="43.85546875" style="11" customWidth="1"/>
    <col min="11794" max="11794" width="18.28515625" style="11" customWidth="1"/>
    <col min="11795" max="11795" width="18.140625" style="11" customWidth="1"/>
    <col min="11796" max="11796" width="18.5703125" style="11" customWidth="1"/>
    <col min="11797" max="11798" width="9.140625" style="11"/>
    <col min="11799" max="11799" width="19.140625" style="11" customWidth="1"/>
    <col min="11800" max="11800" width="9.85546875" style="11" bestFit="1" customWidth="1"/>
    <col min="11801" max="12029" width="9.140625" style="11"/>
    <col min="12030" max="12030" width="5" style="11" customWidth="1"/>
    <col min="12031" max="12031" width="14.42578125" style="11" customWidth="1"/>
    <col min="12032" max="12032" width="18.42578125" style="11" customWidth="1"/>
    <col min="12033" max="12033" width="5" style="11" customWidth="1"/>
    <col min="12034" max="12034" width="18.28515625" style="11" customWidth="1"/>
    <col min="12035" max="12035" width="4.85546875" style="11" customWidth="1"/>
    <col min="12036" max="12036" width="18.7109375" style="11" customWidth="1"/>
    <col min="12037" max="12037" width="20" style="11" customWidth="1"/>
    <col min="12038" max="12038" width="14.5703125" style="11" customWidth="1"/>
    <col min="12039" max="12039" width="14" style="11" customWidth="1"/>
    <col min="12040" max="12040" width="13.85546875" style="11" customWidth="1"/>
    <col min="12041" max="12041" width="14.28515625" style="11" customWidth="1"/>
    <col min="12042" max="12042" width="11.7109375" style="11" customWidth="1"/>
    <col min="12043" max="12043" width="11.140625" style="11" customWidth="1"/>
    <col min="12044" max="12044" width="11.85546875" style="11" customWidth="1"/>
    <col min="12045" max="12045" width="12.85546875" style="11" customWidth="1"/>
    <col min="12046" max="12046" width="17.7109375" style="11" customWidth="1"/>
    <col min="12047" max="12047" width="19.28515625" style="11" customWidth="1"/>
    <col min="12048" max="12048" width="30.7109375" style="11" customWidth="1"/>
    <col min="12049" max="12049" width="43.85546875" style="11" customWidth="1"/>
    <col min="12050" max="12050" width="18.28515625" style="11" customWidth="1"/>
    <col min="12051" max="12051" width="18.140625" style="11" customWidth="1"/>
    <col min="12052" max="12052" width="18.5703125" style="11" customWidth="1"/>
    <col min="12053" max="12054" width="9.140625" style="11"/>
    <col min="12055" max="12055" width="19.140625" style="11" customWidth="1"/>
    <col min="12056" max="12056" width="9.85546875" style="11" bestFit="1" customWidth="1"/>
    <col min="12057" max="12285" width="9.140625" style="11"/>
    <col min="12286" max="12286" width="5" style="11" customWidth="1"/>
    <col min="12287" max="12287" width="14.42578125" style="11" customWidth="1"/>
    <col min="12288" max="12288" width="18.42578125" style="11" customWidth="1"/>
    <col min="12289" max="12289" width="5" style="11" customWidth="1"/>
    <col min="12290" max="12290" width="18.28515625" style="11" customWidth="1"/>
    <col min="12291" max="12291" width="4.85546875" style="11" customWidth="1"/>
    <col min="12292" max="12292" width="18.7109375" style="11" customWidth="1"/>
    <col min="12293" max="12293" width="20" style="11" customWidth="1"/>
    <col min="12294" max="12294" width="14.5703125" style="11" customWidth="1"/>
    <col min="12295" max="12295" width="14" style="11" customWidth="1"/>
    <col min="12296" max="12296" width="13.85546875" style="11" customWidth="1"/>
    <col min="12297" max="12297" width="14.28515625" style="11" customWidth="1"/>
    <col min="12298" max="12298" width="11.7109375" style="11" customWidth="1"/>
    <col min="12299" max="12299" width="11.140625" style="11" customWidth="1"/>
    <col min="12300" max="12300" width="11.85546875" style="11" customWidth="1"/>
    <col min="12301" max="12301" width="12.85546875" style="11" customWidth="1"/>
    <col min="12302" max="12302" width="17.7109375" style="11" customWidth="1"/>
    <col min="12303" max="12303" width="19.28515625" style="11" customWidth="1"/>
    <col min="12304" max="12304" width="30.7109375" style="11" customWidth="1"/>
    <col min="12305" max="12305" width="43.85546875" style="11" customWidth="1"/>
    <col min="12306" max="12306" width="18.28515625" style="11" customWidth="1"/>
    <col min="12307" max="12307" width="18.140625" style="11" customWidth="1"/>
    <col min="12308" max="12308" width="18.5703125" style="11" customWidth="1"/>
    <col min="12309" max="12310" width="9.140625" style="11"/>
    <col min="12311" max="12311" width="19.140625" style="11" customWidth="1"/>
    <col min="12312" max="12312" width="9.85546875" style="11" bestFit="1" customWidth="1"/>
    <col min="12313" max="12541" width="9.140625" style="11"/>
    <col min="12542" max="12542" width="5" style="11" customWidth="1"/>
    <col min="12543" max="12543" width="14.42578125" style="11" customWidth="1"/>
    <col min="12544" max="12544" width="18.42578125" style="11" customWidth="1"/>
    <col min="12545" max="12545" width="5" style="11" customWidth="1"/>
    <col min="12546" max="12546" width="18.28515625" style="11" customWidth="1"/>
    <col min="12547" max="12547" width="4.85546875" style="11" customWidth="1"/>
    <col min="12548" max="12548" width="18.7109375" style="11" customWidth="1"/>
    <col min="12549" max="12549" width="20" style="11" customWidth="1"/>
    <col min="12550" max="12550" width="14.5703125" style="11" customWidth="1"/>
    <col min="12551" max="12551" width="14" style="11" customWidth="1"/>
    <col min="12552" max="12552" width="13.85546875" style="11" customWidth="1"/>
    <col min="12553" max="12553" width="14.28515625" style="11" customWidth="1"/>
    <col min="12554" max="12554" width="11.7109375" style="11" customWidth="1"/>
    <col min="12555" max="12555" width="11.140625" style="11" customWidth="1"/>
    <col min="12556" max="12556" width="11.85546875" style="11" customWidth="1"/>
    <col min="12557" max="12557" width="12.85546875" style="11" customWidth="1"/>
    <col min="12558" max="12558" width="17.7109375" style="11" customWidth="1"/>
    <col min="12559" max="12559" width="19.28515625" style="11" customWidth="1"/>
    <col min="12560" max="12560" width="30.7109375" style="11" customWidth="1"/>
    <col min="12561" max="12561" width="43.85546875" style="11" customWidth="1"/>
    <col min="12562" max="12562" width="18.28515625" style="11" customWidth="1"/>
    <col min="12563" max="12563" width="18.140625" style="11" customWidth="1"/>
    <col min="12564" max="12564" width="18.5703125" style="11" customWidth="1"/>
    <col min="12565" max="12566" width="9.140625" style="11"/>
    <col min="12567" max="12567" width="19.140625" style="11" customWidth="1"/>
    <col min="12568" max="12568" width="9.85546875" style="11" bestFit="1" customWidth="1"/>
    <col min="12569" max="12797" width="9.140625" style="11"/>
    <col min="12798" max="12798" width="5" style="11" customWidth="1"/>
    <col min="12799" max="12799" width="14.42578125" style="11" customWidth="1"/>
    <col min="12800" max="12800" width="18.42578125" style="11" customWidth="1"/>
    <col min="12801" max="12801" width="5" style="11" customWidth="1"/>
    <col min="12802" max="12802" width="18.28515625" style="11" customWidth="1"/>
    <col min="12803" max="12803" width="4.85546875" style="11" customWidth="1"/>
    <col min="12804" max="12804" width="18.7109375" style="11" customWidth="1"/>
    <col min="12805" max="12805" width="20" style="11" customWidth="1"/>
    <col min="12806" max="12806" width="14.5703125" style="11" customWidth="1"/>
    <col min="12807" max="12807" width="14" style="11" customWidth="1"/>
    <col min="12808" max="12808" width="13.85546875" style="11" customWidth="1"/>
    <col min="12809" max="12809" width="14.28515625" style="11" customWidth="1"/>
    <col min="12810" max="12810" width="11.7109375" style="11" customWidth="1"/>
    <col min="12811" max="12811" width="11.140625" style="11" customWidth="1"/>
    <col min="12812" max="12812" width="11.85546875" style="11" customWidth="1"/>
    <col min="12813" max="12813" width="12.85546875" style="11" customWidth="1"/>
    <col min="12814" max="12814" width="17.7109375" style="11" customWidth="1"/>
    <col min="12815" max="12815" width="19.28515625" style="11" customWidth="1"/>
    <col min="12816" max="12816" width="30.7109375" style="11" customWidth="1"/>
    <col min="12817" max="12817" width="43.85546875" style="11" customWidth="1"/>
    <col min="12818" max="12818" width="18.28515625" style="11" customWidth="1"/>
    <col min="12819" max="12819" width="18.140625" style="11" customWidth="1"/>
    <col min="12820" max="12820" width="18.5703125" style="11" customWidth="1"/>
    <col min="12821" max="12822" width="9.140625" style="11"/>
    <col min="12823" max="12823" width="19.140625" style="11" customWidth="1"/>
    <col min="12824" max="12824" width="9.85546875" style="11" bestFit="1" customWidth="1"/>
    <col min="12825" max="13053" width="9.140625" style="11"/>
    <col min="13054" max="13054" width="5" style="11" customWidth="1"/>
    <col min="13055" max="13055" width="14.42578125" style="11" customWidth="1"/>
    <col min="13056" max="13056" width="18.42578125" style="11" customWidth="1"/>
    <col min="13057" max="13057" width="5" style="11" customWidth="1"/>
    <col min="13058" max="13058" width="18.28515625" style="11" customWidth="1"/>
    <col min="13059" max="13059" width="4.85546875" style="11" customWidth="1"/>
    <col min="13060" max="13060" width="18.7109375" style="11" customWidth="1"/>
    <col min="13061" max="13061" width="20" style="11" customWidth="1"/>
    <col min="13062" max="13062" width="14.5703125" style="11" customWidth="1"/>
    <col min="13063" max="13063" width="14" style="11" customWidth="1"/>
    <col min="13064" max="13064" width="13.85546875" style="11" customWidth="1"/>
    <col min="13065" max="13065" width="14.28515625" style="11" customWidth="1"/>
    <col min="13066" max="13066" width="11.7109375" style="11" customWidth="1"/>
    <col min="13067" max="13067" width="11.140625" style="11" customWidth="1"/>
    <col min="13068" max="13068" width="11.85546875" style="11" customWidth="1"/>
    <col min="13069" max="13069" width="12.85546875" style="11" customWidth="1"/>
    <col min="13070" max="13070" width="17.7109375" style="11" customWidth="1"/>
    <col min="13071" max="13071" width="19.28515625" style="11" customWidth="1"/>
    <col min="13072" max="13072" width="30.7109375" style="11" customWidth="1"/>
    <col min="13073" max="13073" width="43.85546875" style="11" customWidth="1"/>
    <col min="13074" max="13074" width="18.28515625" style="11" customWidth="1"/>
    <col min="13075" max="13075" width="18.140625" style="11" customWidth="1"/>
    <col min="13076" max="13076" width="18.5703125" style="11" customWidth="1"/>
    <col min="13077" max="13078" width="9.140625" style="11"/>
    <col min="13079" max="13079" width="19.140625" style="11" customWidth="1"/>
    <col min="13080" max="13080" width="9.85546875" style="11" bestFit="1" customWidth="1"/>
    <col min="13081" max="13309" width="9.140625" style="11"/>
    <col min="13310" max="13310" width="5" style="11" customWidth="1"/>
    <col min="13311" max="13311" width="14.42578125" style="11" customWidth="1"/>
    <col min="13312" max="13312" width="18.42578125" style="11" customWidth="1"/>
    <col min="13313" max="13313" width="5" style="11" customWidth="1"/>
    <col min="13314" max="13314" width="18.28515625" style="11" customWidth="1"/>
    <col min="13315" max="13315" width="4.85546875" style="11" customWidth="1"/>
    <col min="13316" max="13316" width="18.7109375" style="11" customWidth="1"/>
    <col min="13317" max="13317" width="20" style="11" customWidth="1"/>
    <col min="13318" max="13318" width="14.5703125" style="11" customWidth="1"/>
    <col min="13319" max="13319" width="14" style="11" customWidth="1"/>
    <col min="13320" max="13320" width="13.85546875" style="11" customWidth="1"/>
    <col min="13321" max="13321" width="14.28515625" style="11" customWidth="1"/>
    <col min="13322" max="13322" width="11.7109375" style="11" customWidth="1"/>
    <col min="13323" max="13323" width="11.140625" style="11" customWidth="1"/>
    <col min="13324" max="13324" width="11.85546875" style="11" customWidth="1"/>
    <col min="13325" max="13325" width="12.85546875" style="11" customWidth="1"/>
    <col min="13326" max="13326" width="17.7109375" style="11" customWidth="1"/>
    <col min="13327" max="13327" width="19.28515625" style="11" customWidth="1"/>
    <col min="13328" max="13328" width="30.7109375" style="11" customWidth="1"/>
    <col min="13329" max="13329" width="43.85546875" style="11" customWidth="1"/>
    <col min="13330" max="13330" width="18.28515625" style="11" customWidth="1"/>
    <col min="13331" max="13331" width="18.140625" style="11" customWidth="1"/>
    <col min="13332" max="13332" width="18.5703125" style="11" customWidth="1"/>
    <col min="13333" max="13334" width="9.140625" style="11"/>
    <col min="13335" max="13335" width="19.140625" style="11" customWidth="1"/>
    <col min="13336" max="13336" width="9.85546875" style="11" bestFit="1" customWidth="1"/>
    <col min="13337" max="13565" width="9.140625" style="11"/>
    <col min="13566" max="13566" width="5" style="11" customWidth="1"/>
    <col min="13567" max="13567" width="14.42578125" style="11" customWidth="1"/>
    <col min="13568" max="13568" width="18.42578125" style="11" customWidth="1"/>
    <col min="13569" max="13569" width="5" style="11" customWidth="1"/>
    <col min="13570" max="13570" width="18.28515625" style="11" customWidth="1"/>
    <col min="13571" max="13571" width="4.85546875" style="11" customWidth="1"/>
    <col min="13572" max="13572" width="18.7109375" style="11" customWidth="1"/>
    <col min="13573" max="13573" width="20" style="11" customWidth="1"/>
    <col min="13574" max="13574" width="14.5703125" style="11" customWidth="1"/>
    <col min="13575" max="13575" width="14" style="11" customWidth="1"/>
    <col min="13576" max="13576" width="13.85546875" style="11" customWidth="1"/>
    <col min="13577" max="13577" width="14.28515625" style="11" customWidth="1"/>
    <col min="13578" max="13578" width="11.7109375" style="11" customWidth="1"/>
    <col min="13579" max="13579" width="11.140625" style="11" customWidth="1"/>
    <col min="13580" max="13580" width="11.85546875" style="11" customWidth="1"/>
    <col min="13581" max="13581" width="12.85546875" style="11" customWidth="1"/>
    <col min="13582" max="13582" width="17.7109375" style="11" customWidth="1"/>
    <col min="13583" max="13583" width="19.28515625" style="11" customWidth="1"/>
    <col min="13584" max="13584" width="30.7109375" style="11" customWidth="1"/>
    <col min="13585" max="13585" width="43.85546875" style="11" customWidth="1"/>
    <col min="13586" max="13586" width="18.28515625" style="11" customWidth="1"/>
    <col min="13587" max="13587" width="18.140625" style="11" customWidth="1"/>
    <col min="13588" max="13588" width="18.5703125" style="11" customWidth="1"/>
    <col min="13589" max="13590" width="9.140625" style="11"/>
    <col min="13591" max="13591" width="19.140625" style="11" customWidth="1"/>
    <col min="13592" max="13592" width="9.85546875" style="11" bestFit="1" customWidth="1"/>
    <col min="13593" max="13821" width="9.140625" style="11"/>
    <col min="13822" max="13822" width="5" style="11" customWidth="1"/>
    <col min="13823" max="13823" width="14.42578125" style="11" customWidth="1"/>
    <col min="13824" max="13824" width="18.42578125" style="11" customWidth="1"/>
    <col min="13825" max="13825" width="5" style="11" customWidth="1"/>
    <col min="13826" max="13826" width="18.28515625" style="11" customWidth="1"/>
    <col min="13827" max="13827" width="4.85546875" style="11" customWidth="1"/>
    <col min="13828" max="13828" width="18.7109375" style="11" customWidth="1"/>
    <col min="13829" max="13829" width="20" style="11" customWidth="1"/>
    <col min="13830" max="13830" width="14.5703125" style="11" customWidth="1"/>
    <col min="13831" max="13831" width="14" style="11" customWidth="1"/>
    <col min="13832" max="13832" width="13.85546875" style="11" customWidth="1"/>
    <col min="13833" max="13833" width="14.28515625" style="11" customWidth="1"/>
    <col min="13834" max="13834" width="11.7109375" style="11" customWidth="1"/>
    <col min="13835" max="13835" width="11.140625" style="11" customWidth="1"/>
    <col min="13836" max="13836" width="11.85546875" style="11" customWidth="1"/>
    <col min="13837" max="13837" width="12.85546875" style="11" customWidth="1"/>
    <col min="13838" max="13838" width="17.7109375" style="11" customWidth="1"/>
    <col min="13839" max="13839" width="19.28515625" style="11" customWidth="1"/>
    <col min="13840" max="13840" width="30.7109375" style="11" customWidth="1"/>
    <col min="13841" max="13841" width="43.85546875" style="11" customWidth="1"/>
    <col min="13842" max="13842" width="18.28515625" style="11" customWidth="1"/>
    <col min="13843" max="13843" width="18.140625" style="11" customWidth="1"/>
    <col min="13844" max="13844" width="18.5703125" style="11" customWidth="1"/>
    <col min="13845" max="13846" width="9.140625" style="11"/>
    <col min="13847" max="13847" width="19.140625" style="11" customWidth="1"/>
    <col min="13848" max="13848" width="9.85546875" style="11" bestFit="1" customWidth="1"/>
    <col min="13849" max="14077" width="9.140625" style="11"/>
    <col min="14078" max="14078" width="5" style="11" customWidth="1"/>
    <col min="14079" max="14079" width="14.42578125" style="11" customWidth="1"/>
    <col min="14080" max="14080" width="18.42578125" style="11" customWidth="1"/>
    <col min="14081" max="14081" width="5" style="11" customWidth="1"/>
    <col min="14082" max="14082" width="18.28515625" style="11" customWidth="1"/>
    <col min="14083" max="14083" width="4.85546875" style="11" customWidth="1"/>
    <col min="14084" max="14084" width="18.7109375" style="11" customWidth="1"/>
    <col min="14085" max="14085" width="20" style="11" customWidth="1"/>
    <col min="14086" max="14086" width="14.5703125" style="11" customWidth="1"/>
    <col min="14087" max="14087" width="14" style="11" customWidth="1"/>
    <col min="14088" max="14088" width="13.85546875" style="11" customWidth="1"/>
    <col min="14089" max="14089" width="14.28515625" style="11" customWidth="1"/>
    <col min="14090" max="14090" width="11.7109375" style="11" customWidth="1"/>
    <col min="14091" max="14091" width="11.140625" style="11" customWidth="1"/>
    <col min="14092" max="14092" width="11.85546875" style="11" customWidth="1"/>
    <col min="14093" max="14093" width="12.85546875" style="11" customWidth="1"/>
    <col min="14094" max="14094" width="17.7109375" style="11" customWidth="1"/>
    <col min="14095" max="14095" width="19.28515625" style="11" customWidth="1"/>
    <col min="14096" max="14096" width="30.7109375" style="11" customWidth="1"/>
    <col min="14097" max="14097" width="43.85546875" style="11" customWidth="1"/>
    <col min="14098" max="14098" width="18.28515625" style="11" customWidth="1"/>
    <col min="14099" max="14099" width="18.140625" style="11" customWidth="1"/>
    <col min="14100" max="14100" width="18.5703125" style="11" customWidth="1"/>
    <col min="14101" max="14102" width="9.140625" style="11"/>
    <col min="14103" max="14103" width="19.140625" style="11" customWidth="1"/>
    <col min="14104" max="14104" width="9.85546875" style="11" bestFit="1" customWidth="1"/>
    <col min="14105" max="14333" width="9.140625" style="11"/>
    <col min="14334" max="14334" width="5" style="11" customWidth="1"/>
    <col min="14335" max="14335" width="14.42578125" style="11" customWidth="1"/>
    <col min="14336" max="14336" width="18.42578125" style="11" customWidth="1"/>
    <col min="14337" max="14337" width="5" style="11" customWidth="1"/>
    <col min="14338" max="14338" width="18.28515625" style="11" customWidth="1"/>
    <col min="14339" max="14339" width="4.85546875" style="11" customWidth="1"/>
    <col min="14340" max="14340" width="18.7109375" style="11" customWidth="1"/>
    <col min="14341" max="14341" width="20" style="11" customWidth="1"/>
    <col min="14342" max="14342" width="14.5703125" style="11" customWidth="1"/>
    <col min="14343" max="14343" width="14" style="11" customWidth="1"/>
    <col min="14344" max="14344" width="13.85546875" style="11" customWidth="1"/>
    <col min="14345" max="14345" width="14.28515625" style="11" customWidth="1"/>
    <col min="14346" max="14346" width="11.7109375" style="11" customWidth="1"/>
    <col min="14347" max="14347" width="11.140625" style="11" customWidth="1"/>
    <col min="14348" max="14348" width="11.85546875" style="11" customWidth="1"/>
    <col min="14349" max="14349" width="12.85546875" style="11" customWidth="1"/>
    <col min="14350" max="14350" width="17.7109375" style="11" customWidth="1"/>
    <col min="14351" max="14351" width="19.28515625" style="11" customWidth="1"/>
    <col min="14352" max="14352" width="30.7109375" style="11" customWidth="1"/>
    <col min="14353" max="14353" width="43.85546875" style="11" customWidth="1"/>
    <col min="14354" max="14354" width="18.28515625" style="11" customWidth="1"/>
    <col min="14355" max="14355" width="18.140625" style="11" customWidth="1"/>
    <col min="14356" max="14356" width="18.5703125" style="11" customWidth="1"/>
    <col min="14357" max="14358" width="9.140625" style="11"/>
    <col min="14359" max="14359" width="19.140625" style="11" customWidth="1"/>
    <col min="14360" max="14360" width="9.85546875" style="11" bestFit="1" customWidth="1"/>
    <col min="14361" max="14589" width="9.140625" style="11"/>
    <col min="14590" max="14590" width="5" style="11" customWidth="1"/>
    <col min="14591" max="14591" width="14.42578125" style="11" customWidth="1"/>
    <col min="14592" max="14592" width="18.42578125" style="11" customWidth="1"/>
    <col min="14593" max="14593" width="5" style="11" customWidth="1"/>
    <col min="14594" max="14594" width="18.28515625" style="11" customWidth="1"/>
    <col min="14595" max="14595" width="4.85546875" style="11" customWidth="1"/>
    <col min="14596" max="14596" width="18.7109375" style="11" customWidth="1"/>
    <col min="14597" max="14597" width="20" style="11" customWidth="1"/>
    <col min="14598" max="14598" width="14.5703125" style="11" customWidth="1"/>
    <col min="14599" max="14599" width="14" style="11" customWidth="1"/>
    <col min="14600" max="14600" width="13.85546875" style="11" customWidth="1"/>
    <col min="14601" max="14601" width="14.28515625" style="11" customWidth="1"/>
    <col min="14602" max="14602" width="11.7109375" style="11" customWidth="1"/>
    <col min="14603" max="14603" width="11.140625" style="11" customWidth="1"/>
    <col min="14604" max="14604" width="11.85546875" style="11" customWidth="1"/>
    <col min="14605" max="14605" width="12.85546875" style="11" customWidth="1"/>
    <col min="14606" max="14606" width="17.7109375" style="11" customWidth="1"/>
    <col min="14607" max="14607" width="19.28515625" style="11" customWidth="1"/>
    <col min="14608" max="14608" width="30.7109375" style="11" customWidth="1"/>
    <col min="14609" max="14609" width="43.85546875" style="11" customWidth="1"/>
    <col min="14610" max="14610" width="18.28515625" style="11" customWidth="1"/>
    <col min="14611" max="14611" width="18.140625" style="11" customWidth="1"/>
    <col min="14612" max="14612" width="18.5703125" style="11" customWidth="1"/>
    <col min="14613" max="14614" width="9.140625" style="11"/>
    <col min="14615" max="14615" width="19.140625" style="11" customWidth="1"/>
    <col min="14616" max="14616" width="9.85546875" style="11" bestFit="1" customWidth="1"/>
    <col min="14617" max="14845" width="9.140625" style="11"/>
    <col min="14846" max="14846" width="5" style="11" customWidth="1"/>
    <col min="14847" max="14847" width="14.42578125" style="11" customWidth="1"/>
    <col min="14848" max="14848" width="18.42578125" style="11" customWidth="1"/>
    <col min="14849" max="14849" width="5" style="11" customWidth="1"/>
    <col min="14850" max="14850" width="18.28515625" style="11" customWidth="1"/>
    <col min="14851" max="14851" width="4.85546875" style="11" customWidth="1"/>
    <col min="14852" max="14852" width="18.7109375" style="11" customWidth="1"/>
    <col min="14853" max="14853" width="20" style="11" customWidth="1"/>
    <col min="14854" max="14854" width="14.5703125" style="11" customWidth="1"/>
    <col min="14855" max="14855" width="14" style="11" customWidth="1"/>
    <col min="14856" max="14856" width="13.85546875" style="11" customWidth="1"/>
    <col min="14857" max="14857" width="14.28515625" style="11" customWidth="1"/>
    <col min="14858" max="14858" width="11.7109375" style="11" customWidth="1"/>
    <col min="14859" max="14859" width="11.140625" style="11" customWidth="1"/>
    <col min="14860" max="14860" width="11.85546875" style="11" customWidth="1"/>
    <col min="14861" max="14861" width="12.85546875" style="11" customWidth="1"/>
    <col min="14862" max="14862" width="17.7109375" style="11" customWidth="1"/>
    <col min="14863" max="14863" width="19.28515625" style="11" customWidth="1"/>
    <col min="14864" max="14864" width="30.7109375" style="11" customWidth="1"/>
    <col min="14865" max="14865" width="43.85546875" style="11" customWidth="1"/>
    <col min="14866" max="14866" width="18.28515625" style="11" customWidth="1"/>
    <col min="14867" max="14867" width="18.140625" style="11" customWidth="1"/>
    <col min="14868" max="14868" width="18.5703125" style="11" customWidth="1"/>
    <col min="14869" max="14870" width="9.140625" style="11"/>
    <col min="14871" max="14871" width="19.140625" style="11" customWidth="1"/>
    <col min="14872" max="14872" width="9.85546875" style="11" bestFit="1" customWidth="1"/>
    <col min="14873" max="15101" width="9.140625" style="11"/>
    <col min="15102" max="15102" width="5" style="11" customWidth="1"/>
    <col min="15103" max="15103" width="14.42578125" style="11" customWidth="1"/>
    <col min="15104" max="15104" width="18.42578125" style="11" customWidth="1"/>
    <col min="15105" max="15105" width="5" style="11" customWidth="1"/>
    <col min="15106" max="15106" width="18.28515625" style="11" customWidth="1"/>
    <col min="15107" max="15107" width="4.85546875" style="11" customWidth="1"/>
    <col min="15108" max="15108" width="18.7109375" style="11" customWidth="1"/>
    <col min="15109" max="15109" width="20" style="11" customWidth="1"/>
    <col min="15110" max="15110" width="14.5703125" style="11" customWidth="1"/>
    <col min="15111" max="15111" width="14" style="11" customWidth="1"/>
    <col min="15112" max="15112" width="13.85546875" style="11" customWidth="1"/>
    <col min="15113" max="15113" width="14.28515625" style="11" customWidth="1"/>
    <col min="15114" max="15114" width="11.7109375" style="11" customWidth="1"/>
    <col min="15115" max="15115" width="11.140625" style="11" customWidth="1"/>
    <col min="15116" max="15116" width="11.85546875" style="11" customWidth="1"/>
    <col min="15117" max="15117" width="12.85546875" style="11" customWidth="1"/>
    <col min="15118" max="15118" width="17.7109375" style="11" customWidth="1"/>
    <col min="15119" max="15119" width="19.28515625" style="11" customWidth="1"/>
    <col min="15120" max="15120" width="30.7109375" style="11" customWidth="1"/>
    <col min="15121" max="15121" width="43.85546875" style="11" customWidth="1"/>
    <col min="15122" max="15122" width="18.28515625" style="11" customWidth="1"/>
    <col min="15123" max="15123" width="18.140625" style="11" customWidth="1"/>
    <col min="15124" max="15124" width="18.5703125" style="11" customWidth="1"/>
    <col min="15125" max="15126" width="9.140625" style="11"/>
    <col min="15127" max="15127" width="19.140625" style="11" customWidth="1"/>
    <col min="15128" max="15128" width="9.85546875" style="11" bestFit="1" customWidth="1"/>
    <col min="15129" max="15357" width="9.140625" style="11"/>
    <col min="15358" max="15358" width="5" style="11" customWidth="1"/>
    <col min="15359" max="15359" width="14.42578125" style="11" customWidth="1"/>
    <col min="15360" max="15360" width="18.42578125" style="11" customWidth="1"/>
    <col min="15361" max="15361" width="5" style="11" customWidth="1"/>
    <col min="15362" max="15362" width="18.28515625" style="11" customWidth="1"/>
    <col min="15363" max="15363" width="4.85546875" style="11" customWidth="1"/>
    <col min="15364" max="15364" width="18.7109375" style="11" customWidth="1"/>
    <col min="15365" max="15365" width="20" style="11" customWidth="1"/>
    <col min="15366" max="15366" width="14.5703125" style="11" customWidth="1"/>
    <col min="15367" max="15367" width="14" style="11" customWidth="1"/>
    <col min="15368" max="15368" width="13.85546875" style="11" customWidth="1"/>
    <col min="15369" max="15369" width="14.28515625" style="11" customWidth="1"/>
    <col min="15370" max="15370" width="11.7109375" style="11" customWidth="1"/>
    <col min="15371" max="15371" width="11.140625" style="11" customWidth="1"/>
    <col min="15372" max="15372" width="11.85546875" style="11" customWidth="1"/>
    <col min="15373" max="15373" width="12.85546875" style="11" customWidth="1"/>
    <col min="15374" max="15374" width="17.7109375" style="11" customWidth="1"/>
    <col min="15375" max="15375" width="19.28515625" style="11" customWidth="1"/>
    <col min="15376" max="15376" width="30.7109375" style="11" customWidth="1"/>
    <col min="15377" max="15377" width="43.85546875" style="11" customWidth="1"/>
    <col min="15378" max="15378" width="18.28515625" style="11" customWidth="1"/>
    <col min="15379" max="15379" width="18.140625" style="11" customWidth="1"/>
    <col min="15380" max="15380" width="18.5703125" style="11" customWidth="1"/>
    <col min="15381" max="15382" width="9.140625" style="11"/>
    <col min="15383" max="15383" width="19.140625" style="11" customWidth="1"/>
    <col min="15384" max="15384" width="9.85546875" style="11" bestFit="1" customWidth="1"/>
    <col min="15385" max="15613" width="9.140625" style="11"/>
    <col min="15614" max="15614" width="5" style="11" customWidth="1"/>
    <col min="15615" max="15615" width="14.42578125" style="11" customWidth="1"/>
    <col min="15616" max="15616" width="18.42578125" style="11" customWidth="1"/>
    <col min="15617" max="15617" width="5" style="11" customWidth="1"/>
    <col min="15618" max="15618" width="18.28515625" style="11" customWidth="1"/>
    <col min="15619" max="15619" width="4.85546875" style="11" customWidth="1"/>
    <col min="15620" max="15620" width="18.7109375" style="11" customWidth="1"/>
    <col min="15621" max="15621" width="20" style="11" customWidth="1"/>
    <col min="15622" max="15622" width="14.5703125" style="11" customWidth="1"/>
    <col min="15623" max="15623" width="14" style="11" customWidth="1"/>
    <col min="15624" max="15624" width="13.85546875" style="11" customWidth="1"/>
    <col min="15625" max="15625" width="14.28515625" style="11" customWidth="1"/>
    <col min="15626" max="15626" width="11.7109375" style="11" customWidth="1"/>
    <col min="15627" max="15627" width="11.140625" style="11" customWidth="1"/>
    <col min="15628" max="15628" width="11.85546875" style="11" customWidth="1"/>
    <col min="15629" max="15629" width="12.85546875" style="11" customWidth="1"/>
    <col min="15630" max="15630" width="17.7109375" style="11" customWidth="1"/>
    <col min="15631" max="15631" width="19.28515625" style="11" customWidth="1"/>
    <col min="15632" max="15632" width="30.7109375" style="11" customWidth="1"/>
    <col min="15633" max="15633" width="43.85546875" style="11" customWidth="1"/>
    <col min="15634" max="15634" width="18.28515625" style="11" customWidth="1"/>
    <col min="15635" max="15635" width="18.140625" style="11" customWidth="1"/>
    <col min="15636" max="15636" width="18.5703125" style="11" customWidth="1"/>
    <col min="15637" max="15638" width="9.140625" style="11"/>
    <col min="15639" max="15639" width="19.140625" style="11" customWidth="1"/>
    <col min="15640" max="15640" width="9.85546875" style="11" bestFit="1" customWidth="1"/>
    <col min="15641" max="15869" width="9.140625" style="11"/>
    <col min="15870" max="15870" width="5" style="11" customWidth="1"/>
    <col min="15871" max="15871" width="14.42578125" style="11" customWidth="1"/>
    <col min="15872" max="15872" width="18.42578125" style="11" customWidth="1"/>
    <col min="15873" max="15873" width="5" style="11" customWidth="1"/>
    <col min="15874" max="15874" width="18.28515625" style="11" customWidth="1"/>
    <col min="15875" max="15875" width="4.85546875" style="11" customWidth="1"/>
    <col min="15876" max="15876" width="18.7109375" style="11" customWidth="1"/>
    <col min="15877" max="15877" width="20" style="11" customWidth="1"/>
    <col min="15878" max="15878" width="14.5703125" style="11" customWidth="1"/>
    <col min="15879" max="15879" width="14" style="11" customWidth="1"/>
    <col min="15880" max="15880" width="13.85546875" style="11" customWidth="1"/>
    <col min="15881" max="15881" width="14.28515625" style="11" customWidth="1"/>
    <col min="15882" max="15882" width="11.7109375" style="11" customWidth="1"/>
    <col min="15883" max="15883" width="11.140625" style="11" customWidth="1"/>
    <col min="15884" max="15884" width="11.85546875" style="11" customWidth="1"/>
    <col min="15885" max="15885" width="12.85546875" style="11" customWidth="1"/>
    <col min="15886" max="15886" width="17.7109375" style="11" customWidth="1"/>
    <col min="15887" max="15887" width="19.28515625" style="11" customWidth="1"/>
    <col min="15888" max="15888" width="30.7109375" style="11" customWidth="1"/>
    <col min="15889" max="15889" width="43.85546875" style="11" customWidth="1"/>
    <col min="15890" max="15890" width="18.28515625" style="11" customWidth="1"/>
    <col min="15891" max="15891" width="18.140625" style="11" customWidth="1"/>
    <col min="15892" max="15892" width="18.5703125" style="11" customWidth="1"/>
    <col min="15893" max="15894" width="9.140625" style="11"/>
    <col min="15895" max="15895" width="19.140625" style="11" customWidth="1"/>
    <col min="15896" max="15896" width="9.85546875" style="11" bestFit="1" customWidth="1"/>
    <col min="15897" max="16125" width="9.140625" style="11"/>
    <col min="16126" max="16126" width="5" style="11" customWidth="1"/>
    <col min="16127" max="16127" width="14.42578125" style="11" customWidth="1"/>
    <col min="16128" max="16128" width="18.42578125" style="11" customWidth="1"/>
    <col min="16129" max="16129" width="5" style="11" customWidth="1"/>
    <col min="16130" max="16130" width="18.28515625" style="11" customWidth="1"/>
    <col min="16131" max="16131" width="4.85546875" style="11" customWidth="1"/>
    <col min="16132" max="16132" width="18.7109375" style="11" customWidth="1"/>
    <col min="16133" max="16133" width="20" style="11" customWidth="1"/>
    <col min="16134" max="16134" width="14.5703125" style="11" customWidth="1"/>
    <col min="16135" max="16135" width="14" style="11" customWidth="1"/>
    <col min="16136" max="16136" width="13.85546875" style="11" customWidth="1"/>
    <col min="16137" max="16137" width="14.28515625" style="11" customWidth="1"/>
    <col min="16138" max="16138" width="11.7109375" style="11" customWidth="1"/>
    <col min="16139" max="16139" width="11.140625" style="11" customWidth="1"/>
    <col min="16140" max="16140" width="11.85546875" style="11" customWidth="1"/>
    <col min="16141" max="16141" width="12.85546875" style="11" customWidth="1"/>
    <col min="16142" max="16142" width="17.7109375" style="11" customWidth="1"/>
    <col min="16143" max="16143" width="19.28515625" style="11" customWidth="1"/>
    <col min="16144" max="16144" width="30.7109375" style="11" customWidth="1"/>
    <col min="16145" max="16145" width="43.85546875" style="11" customWidth="1"/>
    <col min="16146" max="16146" width="18.28515625" style="11" customWidth="1"/>
    <col min="16147" max="16147" width="18.140625" style="11" customWidth="1"/>
    <col min="16148" max="16148" width="18.5703125" style="11" customWidth="1"/>
    <col min="16149" max="16150" width="9.140625" style="11"/>
    <col min="16151" max="16151" width="19.140625" style="11" customWidth="1"/>
    <col min="16152" max="16152" width="9.85546875" style="11" bestFit="1" customWidth="1"/>
    <col min="16153" max="16384" width="9.140625" style="11"/>
  </cols>
  <sheetData>
    <row r="1" spans="1:28" ht="75" customHeight="1" thickBot="1">
      <c r="A1" s="73" t="s">
        <v>0</v>
      </c>
      <c r="B1" s="74" t="s">
        <v>1</v>
      </c>
      <c r="C1" s="1" t="s">
        <v>2</v>
      </c>
      <c r="D1" s="75" t="s">
        <v>3</v>
      </c>
      <c r="E1" s="1" t="s">
        <v>4</v>
      </c>
      <c r="F1" s="75" t="s">
        <v>5</v>
      </c>
      <c r="G1" s="1" t="s">
        <v>6</v>
      </c>
      <c r="H1" s="1" t="s">
        <v>7</v>
      </c>
      <c r="I1" s="1" t="s">
        <v>8</v>
      </c>
      <c r="J1" s="75" t="s">
        <v>1296</v>
      </c>
      <c r="K1" s="76" t="s">
        <v>9</v>
      </c>
      <c r="L1" s="76" t="s">
        <v>10</v>
      </c>
      <c r="M1" s="76" t="s">
        <v>11</v>
      </c>
      <c r="N1" s="76" t="s">
        <v>12</v>
      </c>
      <c r="O1" s="76" t="s">
        <v>13</v>
      </c>
      <c r="P1" s="75" t="s">
        <v>1297</v>
      </c>
      <c r="Q1" s="75" t="s">
        <v>14</v>
      </c>
      <c r="R1" s="1" t="s">
        <v>15</v>
      </c>
      <c r="S1" s="1" t="s">
        <v>16</v>
      </c>
      <c r="T1" s="77" t="s">
        <v>17</v>
      </c>
      <c r="U1" s="78" t="s">
        <v>1183</v>
      </c>
      <c r="V1" s="79" t="s">
        <v>1184</v>
      </c>
      <c r="X1" s="24" t="s">
        <v>1298</v>
      </c>
      <c r="Y1" s="80"/>
      <c r="Z1" s="24" t="s">
        <v>1299</v>
      </c>
      <c r="AA1" s="24" t="s">
        <v>1300</v>
      </c>
      <c r="AB1" s="11" t="s">
        <v>1301</v>
      </c>
    </row>
    <row r="2" spans="1:28" s="12" customFormat="1" ht="49.5" customHeight="1">
      <c r="A2" s="2">
        <v>1</v>
      </c>
      <c r="B2" s="55" t="s">
        <v>18</v>
      </c>
      <c r="C2" s="55" t="s">
        <v>19</v>
      </c>
      <c r="D2" s="55">
        <v>18</v>
      </c>
      <c r="E2" s="55" t="s">
        <v>20</v>
      </c>
      <c r="F2" s="55">
        <v>191</v>
      </c>
      <c r="G2" s="55" t="s">
        <v>21</v>
      </c>
      <c r="H2" s="55" t="s">
        <v>22</v>
      </c>
      <c r="I2" s="55" t="s">
        <v>23</v>
      </c>
      <c r="J2" s="55">
        <v>2500</v>
      </c>
      <c r="K2" s="55" t="s">
        <v>24</v>
      </c>
      <c r="L2" s="55" t="s">
        <v>25</v>
      </c>
      <c r="M2" s="55" t="s">
        <v>26</v>
      </c>
      <c r="N2" s="55" t="s">
        <v>26</v>
      </c>
      <c r="O2" s="55" t="s">
        <v>26</v>
      </c>
      <c r="P2" s="57">
        <v>100</v>
      </c>
      <c r="Q2" s="55" t="s">
        <v>27</v>
      </c>
      <c r="R2" s="55" t="s">
        <v>28</v>
      </c>
      <c r="S2" s="55" t="s">
        <v>29</v>
      </c>
      <c r="T2" s="55" t="s">
        <v>30</v>
      </c>
      <c r="U2" s="59">
        <v>0.2</v>
      </c>
      <c r="V2" s="60">
        <v>0.8</v>
      </c>
      <c r="W2" s="81"/>
      <c r="X2" s="82">
        <f t="shared" ref="X2:X33" si="0">V2*J2</f>
        <v>2000</v>
      </c>
      <c r="Y2" s="25"/>
      <c r="Z2" s="83">
        <f t="shared" ref="Z2:Z65" si="1">J2-X2</f>
        <v>500</v>
      </c>
      <c r="AA2" s="25"/>
    </row>
    <row r="3" spans="1:28" ht="49.5" customHeight="1">
      <c r="A3" s="2">
        <v>2</v>
      </c>
      <c r="B3" s="2" t="s">
        <v>18</v>
      </c>
      <c r="C3" s="2" t="s">
        <v>19</v>
      </c>
      <c r="D3" s="2">
        <v>28</v>
      </c>
      <c r="E3" s="2" t="s">
        <v>37</v>
      </c>
      <c r="F3" s="2">
        <v>5</v>
      </c>
      <c r="G3" s="2" t="s">
        <v>38</v>
      </c>
      <c r="H3" s="2" t="s">
        <v>39</v>
      </c>
      <c r="I3" s="2" t="s">
        <v>40</v>
      </c>
      <c r="J3" s="2">
        <v>1500</v>
      </c>
      <c r="K3" s="2" t="s">
        <v>24</v>
      </c>
      <c r="L3" s="2" t="s">
        <v>25</v>
      </c>
      <c r="M3" s="2" t="s">
        <v>26</v>
      </c>
      <c r="N3" s="2" t="s">
        <v>26</v>
      </c>
      <c r="O3" s="2" t="s">
        <v>26</v>
      </c>
      <c r="P3" s="13">
        <v>100</v>
      </c>
      <c r="Q3" s="2" t="s">
        <v>27</v>
      </c>
      <c r="R3" s="2" t="s">
        <v>28</v>
      </c>
      <c r="S3" s="2" t="s">
        <v>29</v>
      </c>
      <c r="T3" s="2" t="s">
        <v>41</v>
      </c>
      <c r="U3" s="10">
        <v>0</v>
      </c>
      <c r="V3" s="52">
        <v>1</v>
      </c>
      <c r="W3" s="25"/>
      <c r="X3" s="66">
        <f t="shared" si="0"/>
        <v>1500</v>
      </c>
      <c r="Z3" s="84">
        <f t="shared" si="1"/>
        <v>0</v>
      </c>
    </row>
    <row r="4" spans="1:28" ht="49.5" customHeight="1">
      <c r="A4" s="2">
        <v>3</v>
      </c>
      <c r="B4" s="2" t="s">
        <v>18</v>
      </c>
      <c r="C4" s="2" t="s">
        <v>19</v>
      </c>
      <c r="D4" s="2">
        <v>28</v>
      </c>
      <c r="E4" s="2" t="s">
        <v>37</v>
      </c>
      <c r="F4" s="2">
        <v>193</v>
      </c>
      <c r="G4" s="2" t="s">
        <v>42</v>
      </c>
      <c r="H4" s="2" t="s">
        <v>43</v>
      </c>
      <c r="I4" s="2" t="s">
        <v>44</v>
      </c>
      <c r="J4" s="2">
        <v>1500</v>
      </c>
      <c r="K4" s="2" t="s">
        <v>24</v>
      </c>
      <c r="L4" s="2" t="s">
        <v>25</v>
      </c>
      <c r="M4" s="2" t="s">
        <v>26</v>
      </c>
      <c r="N4" s="2" t="s">
        <v>26</v>
      </c>
      <c r="O4" s="2" t="s">
        <v>26</v>
      </c>
      <c r="P4" s="13">
        <v>100</v>
      </c>
      <c r="Q4" s="2" t="s">
        <v>27</v>
      </c>
      <c r="R4" s="2" t="s">
        <v>28</v>
      </c>
      <c r="S4" s="2" t="s">
        <v>29</v>
      </c>
      <c r="T4" s="2" t="s">
        <v>45</v>
      </c>
      <c r="U4" s="10">
        <v>0</v>
      </c>
      <c r="V4" s="52">
        <v>1</v>
      </c>
      <c r="W4" s="24"/>
      <c r="X4" s="66">
        <f t="shared" si="0"/>
        <v>1500</v>
      </c>
      <c r="Z4" s="84">
        <f t="shared" si="1"/>
        <v>0</v>
      </c>
    </row>
    <row r="5" spans="1:28" ht="49.5" customHeight="1">
      <c r="A5" s="2">
        <v>4</v>
      </c>
      <c r="B5" s="2" t="s">
        <v>18</v>
      </c>
      <c r="C5" s="2" t="s">
        <v>19</v>
      </c>
      <c r="D5" s="2">
        <v>28</v>
      </c>
      <c r="E5" s="2" t="s">
        <v>37</v>
      </c>
      <c r="F5" s="2">
        <v>193</v>
      </c>
      <c r="G5" s="2" t="s">
        <v>42</v>
      </c>
      <c r="H5" s="2" t="s">
        <v>47</v>
      </c>
      <c r="I5" s="2" t="s">
        <v>48</v>
      </c>
      <c r="J5" s="2">
        <v>3000</v>
      </c>
      <c r="K5" s="2" t="s">
        <v>24</v>
      </c>
      <c r="L5" s="2" t="s">
        <v>25</v>
      </c>
      <c r="M5" s="2" t="s">
        <v>26</v>
      </c>
      <c r="N5" s="2" t="s">
        <v>26</v>
      </c>
      <c r="O5" s="2" t="s">
        <v>26</v>
      </c>
      <c r="P5" s="13">
        <v>100</v>
      </c>
      <c r="Q5" s="2" t="s">
        <v>27</v>
      </c>
      <c r="R5" s="2" t="s">
        <v>28</v>
      </c>
      <c r="S5" s="2" t="s">
        <v>29</v>
      </c>
      <c r="T5" s="2" t="s">
        <v>49</v>
      </c>
      <c r="U5" s="10">
        <v>0.95</v>
      </c>
      <c r="V5" s="52">
        <v>0.05</v>
      </c>
      <c r="W5" s="24"/>
      <c r="X5" s="66">
        <f t="shared" si="0"/>
        <v>150</v>
      </c>
      <c r="Z5" s="84">
        <f t="shared" si="1"/>
        <v>2850</v>
      </c>
    </row>
    <row r="6" spans="1:28" ht="49.5" customHeight="1">
      <c r="A6" s="2">
        <v>5</v>
      </c>
      <c r="B6" s="2" t="s">
        <v>18</v>
      </c>
      <c r="C6" s="2" t="s">
        <v>19</v>
      </c>
      <c r="D6" s="2">
        <v>28</v>
      </c>
      <c r="E6" s="2" t="s">
        <v>37</v>
      </c>
      <c r="F6" s="2">
        <v>193</v>
      </c>
      <c r="G6" s="2" t="s">
        <v>42</v>
      </c>
      <c r="H6" s="2" t="s">
        <v>51</v>
      </c>
      <c r="I6" s="2" t="s">
        <v>52</v>
      </c>
      <c r="J6" s="2">
        <v>2500</v>
      </c>
      <c r="K6" s="2" t="s">
        <v>24</v>
      </c>
      <c r="L6" s="2" t="s">
        <v>25</v>
      </c>
      <c r="M6" s="2" t="s">
        <v>26</v>
      </c>
      <c r="N6" s="2" t="s">
        <v>26</v>
      </c>
      <c r="O6" s="2" t="s">
        <v>26</v>
      </c>
      <c r="P6" s="13">
        <v>100</v>
      </c>
      <c r="Q6" s="2" t="s">
        <v>27</v>
      </c>
      <c r="R6" s="2" t="s">
        <v>28</v>
      </c>
      <c r="S6" s="2" t="s">
        <v>29</v>
      </c>
      <c r="T6" s="2" t="s">
        <v>53</v>
      </c>
      <c r="U6" s="10">
        <v>0</v>
      </c>
      <c r="V6" s="52">
        <v>1</v>
      </c>
      <c r="W6" s="24"/>
      <c r="X6" s="66">
        <f t="shared" si="0"/>
        <v>2500</v>
      </c>
      <c r="Z6" s="84">
        <f t="shared" si="1"/>
        <v>0</v>
      </c>
    </row>
    <row r="7" spans="1:28" ht="49.5" customHeight="1">
      <c r="A7" s="2">
        <v>6</v>
      </c>
      <c r="B7" s="2" t="s">
        <v>18</v>
      </c>
      <c r="C7" s="2" t="s">
        <v>19</v>
      </c>
      <c r="D7" s="2">
        <v>28</v>
      </c>
      <c r="E7" s="2" t="s">
        <v>37</v>
      </c>
      <c r="F7" s="2">
        <v>193</v>
      </c>
      <c r="G7" s="2" t="s">
        <v>42</v>
      </c>
      <c r="H7" s="2" t="s">
        <v>54</v>
      </c>
      <c r="I7" s="2" t="s">
        <v>55</v>
      </c>
      <c r="J7" s="2">
        <v>1000</v>
      </c>
      <c r="K7" s="2" t="s">
        <v>24</v>
      </c>
      <c r="L7" s="2" t="s">
        <v>25</v>
      </c>
      <c r="M7" s="2" t="s">
        <v>26</v>
      </c>
      <c r="N7" s="2" t="s">
        <v>26</v>
      </c>
      <c r="O7" s="2" t="s">
        <v>26</v>
      </c>
      <c r="P7" s="13">
        <v>100</v>
      </c>
      <c r="Q7" s="2" t="s">
        <v>27</v>
      </c>
      <c r="R7" s="2" t="s">
        <v>28</v>
      </c>
      <c r="S7" s="2" t="s">
        <v>29</v>
      </c>
      <c r="T7" s="2" t="s">
        <v>56</v>
      </c>
      <c r="U7" s="10">
        <v>0</v>
      </c>
      <c r="V7" s="52">
        <v>1</v>
      </c>
      <c r="W7" s="24"/>
      <c r="X7" s="66">
        <f t="shared" si="0"/>
        <v>1000</v>
      </c>
      <c r="Z7" s="84">
        <f t="shared" si="1"/>
        <v>0</v>
      </c>
    </row>
    <row r="8" spans="1:28" ht="49.5" customHeight="1">
      <c r="A8" s="2">
        <v>7</v>
      </c>
      <c r="B8" s="2" t="s">
        <v>18</v>
      </c>
      <c r="C8" s="2" t="s">
        <v>19</v>
      </c>
      <c r="D8" s="2">
        <v>28</v>
      </c>
      <c r="E8" s="2" t="s">
        <v>37</v>
      </c>
      <c r="F8" s="2">
        <v>193</v>
      </c>
      <c r="G8" s="2" t="s">
        <v>42</v>
      </c>
      <c r="H8" s="2" t="s">
        <v>58</v>
      </c>
      <c r="I8" s="2" t="s">
        <v>59</v>
      </c>
      <c r="J8" s="2">
        <v>2000</v>
      </c>
      <c r="K8" s="2" t="s">
        <v>24</v>
      </c>
      <c r="L8" s="2" t="s">
        <v>25</v>
      </c>
      <c r="M8" s="2" t="s">
        <v>26</v>
      </c>
      <c r="N8" s="2" t="s">
        <v>26</v>
      </c>
      <c r="O8" s="2" t="s">
        <v>26</v>
      </c>
      <c r="P8" s="13">
        <v>100</v>
      </c>
      <c r="Q8" s="2" t="s">
        <v>35</v>
      </c>
      <c r="R8" s="2" t="s">
        <v>28</v>
      </c>
      <c r="S8" s="2" t="s">
        <v>29</v>
      </c>
      <c r="T8" s="2" t="s">
        <v>60</v>
      </c>
      <c r="U8" s="10">
        <v>0</v>
      </c>
      <c r="V8" s="52">
        <v>1</v>
      </c>
      <c r="W8" s="24"/>
      <c r="X8" s="66">
        <f t="shared" si="0"/>
        <v>2000</v>
      </c>
      <c r="Z8" s="84">
        <f t="shared" si="1"/>
        <v>0</v>
      </c>
    </row>
    <row r="9" spans="1:28" ht="49.5" customHeight="1">
      <c r="A9" s="2">
        <v>8</v>
      </c>
      <c r="B9" s="2" t="s">
        <v>18</v>
      </c>
      <c r="C9" s="2" t="s">
        <v>19</v>
      </c>
      <c r="D9" s="2">
        <v>28</v>
      </c>
      <c r="E9" s="2" t="s">
        <v>37</v>
      </c>
      <c r="F9" s="2">
        <v>194</v>
      </c>
      <c r="G9" s="2" t="s">
        <v>62</v>
      </c>
      <c r="H9" s="2" t="s">
        <v>63</v>
      </c>
      <c r="I9" s="2" t="s">
        <v>64</v>
      </c>
      <c r="J9" s="2">
        <v>5000</v>
      </c>
      <c r="K9" s="2" t="s">
        <v>24</v>
      </c>
      <c r="L9" s="2" t="s">
        <v>25</v>
      </c>
      <c r="M9" s="2" t="s">
        <v>26</v>
      </c>
      <c r="N9" s="2" t="s">
        <v>26</v>
      </c>
      <c r="O9" s="2" t="s">
        <v>26</v>
      </c>
      <c r="P9" s="13">
        <v>100</v>
      </c>
      <c r="Q9" s="2" t="s">
        <v>35</v>
      </c>
      <c r="R9" s="2" t="s">
        <v>28</v>
      </c>
      <c r="S9" s="2" t="s">
        <v>29</v>
      </c>
      <c r="T9" s="2" t="s">
        <v>65</v>
      </c>
      <c r="U9" s="10">
        <v>0</v>
      </c>
      <c r="V9" s="52">
        <v>1</v>
      </c>
      <c r="W9" s="24"/>
      <c r="X9" s="66">
        <f t="shared" si="0"/>
        <v>5000</v>
      </c>
      <c r="Z9" s="84">
        <f t="shared" si="1"/>
        <v>0</v>
      </c>
    </row>
    <row r="10" spans="1:28" ht="49.5" customHeight="1">
      <c r="A10" s="2">
        <v>9</v>
      </c>
      <c r="B10" s="2" t="s">
        <v>18</v>
      </c>
      <c r="C10" s="2" t="s">
        <v>19</v>
      </c>
      <c r="D10" s="2">
        <v>28</v>
      </c>
      <c r="E10" s="2" t="s">
        <v>37</v>
      </c>
      <c r="F10" s="2">
        <v>194</v>
      </c>
      <c r="G10" s="2" t="s">
        <v>62</v>
      </c>
      <c r="H10" s="2" t="s">
        <v>67</v>
      </c>
      <c r="I10" s="2" t="s">
        <v>68</v>
      </c>
      <c r="J10" s="2">
        <v>3000</v>
      </c>
      <c r="K10" s="2" t="s">
        <v>24</v>
      </c>
      <c r="L10" s="2" t="s">
        <v>25</v>
      </c>
      <c r="M10" s="2" t="s">
        <v>26</v>
      </c>
      <c r="N10" s="2" t="s">
        <v>26</v>
      </c>
      <c r="O10" s="2" t="s">
        <v>26</v>
      </c>
      <c r="P10" s="13">
        <v>100</v>
      </c>
      <c r="Q10" s="2" t="s">
        <v>27</v>
      </c>
      <c r="R10" s="2" t="s">
        <v>28</v>
      </c>
      <c r="S10" s="2" t="s">
        <v>29</v>
      </c>
      <c r="T10" s="2" t="s">
        <v>69</v>
      </c>
      <c r="U10" s="10">
        <v>0</v>
      </c>
      <c r="V10" s="52">
        <v>1</v>
      </c>
      <c r="W10" s="24"/>
      <c r="X10" s="66">
        <f t="shared" si="0"/>
        <v>3000</v>
      </c>
      <c r="Z10" s="84">
        <f t="shared" si="1"/>
        <v>0</v>
      </c>
    </row>
    <row r="11" spans="1:28" ht="49.5" customHeight="1">
      <c r="A11" s="2">
        <v>10</v>
      </c>
      <c r="B11" s="2" t="s">
        <v>18</v>
      </c>
      <c r="C11" s="2" t="s">
        <v>19</v>
      </c>
      <c r="D11" s="2">
        <v>28</v>
      </c>
      <c r="E11" s="2" t="s">
        <v>37</v>
      </c>
      <c r="F11" s="2">
        <v>197</v>
      </c>
      <c r="G11" s="2" t="s">
        <v>71</v>
      </c>
      <c r="H11" s="2" t="s">
        <v>72</v>
      </c>
      <c r="I11" s="2" t="s">
        <v>73</v>
      </c>
      <c r="J11" s="2">
        <v>2700</v>
      </c>
      <c r="K11" s="2" t="s">
        <v>24</v>
      </c>
      <c r="L11" s="2" t="s">
        <v>25</v>
      </c>
      <c r="M11" s="2" t="s">
        <v>26</v>
      </c>
      <c r="N11" s="2" t="s">
        <v>26</v>
      </c>
      <c r="O11" s="2" t="s">
        <v>26</v>
      </c>
      <c r="P11" s="13">
        <v>100</v>
      </c>
      <c r="Q11" s="2" t="s">
        <v>27</v>
      </c>
      <c r="R11" s="2" t="s">
        <v>28</v>
      </c>
      <c r="S11" s="2" t="s">
        <v>29</v>
      </c>
      <c r="T11" s="2" t="s">
        <v>74</v>
      </c>
      <c r="U11" s="10">
        <v>0</v>
      </c>
      <c r="V11" s="52">
        <v>1</v>
      </c>
      <c r="W11" s="24"/>
      <c r="X11" s="66">
        <f t="shared" si="0"/>
        <v>2700</v>
      </c>
      <c r="Z11" s="84">
        <f t="shared" si="1"/>
        <v>0</v>
      </c>
    </row>
    <row r="12" spans="1:28" ht="49.5" customHeight="1">
      <c r="A12" s="2">
        <v>11</v>
      </c>
      <c r="B12" s="2" t="s">
        <v>18</v>
      </c>
      <c r="C12" s="2" t="s">
        <v>19</v>
      </c>
      <c r="D12" s="2">
        <v>28</v>
      </c>
      <c r="E12" s="2" t="s">
        <v>37</v>
      </c>
      <c r="F12" s="2">
        <v>197</v>
      </c>
      <c r="G12" s="2" t="s">
        <v>71</v>
      </c>
      <c r="H12" s="2" t="s">
        <v>76</v>
      </c>
      <c r="I12" s="2" t="s">
        <v>77</v>
      </c>
      <c r="J12" s="2">
        <v>1200</v>
      </c>
      <c r="K12" s="2" t="s">
        <v>24</v>
      </c>
      <c r="L12" s="2" t="s">
        <v>25</v>
      </c>
      <c r="M12" s="2" t="s">
        <v>26</v>
      </c>
      <c r="N12" s="2" t="s">
        <v>26</v>
      </c>
      <c r="O12" s="2" t="s">
        <v>26</v>
      </c>
      <c r="P12" s="13">
        <v>100</v>
      </c>
      <c r="Q12" s="2" t="s">
        <v>27</v>
      </c>
      <c r="R12" s="2" t="s">
        <v>28</v>
      </c>
      <c r="S12" s="2" t="s">
        <v>29</v>
      </c>
      <c r="T12" s="2" t="s">
        <v>78</v>
      </c>
      <c r="U12" s="10">
        <v>1</v>
      </c>
      <c r="V12" s="52">
        <v>0</v>
      </c>
      <c r="W12" s="24"/>
      <c r="X12" s="66">
        <f t="shared" si="0"/>
        <v>0</v>
      </c>
      <c r="Z12" s="84">
        <f t="shared" si="1"/>
        <v>1200</v>
      </c>
    </row>
    <row r="13" spans="1:28" ht="49.5" customHeight="1">
      <c r="A13" s="2">
        <v>12</v>
      </c>
      <c r="B13" s="2" t="s">
        <v>18</v>
      </c>
      <c r="C13" s="2" t="s">
        <v>19</v>
      </c>
      <c r="D13" s="2">
        <v>28</v>
      </c>
      <c r="E13" s="2" t="s">
        <v>37</v>
      </c>
      <c r="F13" s="2">
        <v>197</v>
      </c>
      <c r="G13" s="2" t="s">
        <v>71</v>
      </c>
      <c r="H13" s="2" t="s">
        <v>80</v>
      </c>
      <c r="I13" s="2" t="s">
        <v>81</v>
      </c>
      <c r="J13" s="2">
        <v>6000</v>
      </c>
      <c r="K13" s="2" t="s">
        <v>24</v>
      </c>
      <c r="L13" s="2" t="s">
        <v>82</v>
      </c>
      <c r="M13" s="2" t="s">
        <v>26</v>
      </c>
      <c r="N13" s="2" t="s">
        <v>26</v>
      </c>
      <c r="O13" s="2" t="s">
        <v>26</v>
      </c>
      <c r="P13" s="2" t="s">
        <v>83</v>
      </c>
      <c r="Q13" s="2" t="s">
        <v>84</v>
      </c>
      <c r="R13" s="2" t="s">
        <v>28</v>
      </c>
      <c r="S13" s="2" t="s">
        <v>29</v>
      </c>
      <c r="T13" s="2" t="s">
        <v>85</v>
      </c>
      <c r="U13" s="10">
        <v>1</v>
      </c>
      <c r="V13" s="52">
        <v>0</v>
      </c>
      <c r="W13" s="24"/>
      <c r="X13" s="66">
        <f t="shared" si="0"/>
        <v>0</v>
      </c>
      <c r="Z13" s="84">
        <f t="shared" si="1"/>
        <v>6000</v>
      </c>
    </row>
    <row r="14" spans="1:28" ht="49.5" customHeight="1">
      <c r="A14" s="2">
        <v>13</v>
      </c>
      <c r="B14" s="2" t="s">
        <v>18</v>
      </c>
      <c r="C14" s="2" t="s">
        <v>19</v>
      </c>
      <c r="D14" s="2">
        <v>28</v>
      </c>
      <c r="E14" s="2" t="s">
        <v>37</v>
      </c>
      <c r="F14" s="2">
        <v>197</v>
      </c>
      <c r="G14" s="2" t="s">
        <v>71</v>
      </c>
      <c r="H14" s="2" t="s">
        <v>87</v>
      </c>
      <c r="I14" s="2" t="s">
        <v>88</v>
      </c>
      <c r="J14" s="2">
        <v>1700</v>
      </c>
      <c r="K14" s="2" t="s">
        <v>89</v>
      </c>
      <c r="L14" s="2" t="s">
        <v>25</v>
      </c>
      <c r="M14" s="2" t="s">
        <v>26</v>
      </c>
      <c r="N14" s="2" t="s">
        <v>26</v>
      </c>
      <c r="O14" s="2" t="s">
        <v>26</v>
      </c>
      <c r="P14" s="13">
        <v>100</v>
      </c>
      <c r="Q14" s="2" t="s">
        <v>35</v>
      </c>
      <c r="R14" s="2" t="s">
        <v>28</v>
      </c>
      <c r="S14" s="2" t="s">
        <v>29</v>
      </c>
      <c r="T14" s="2" t="s">
        <v>90</v>
      </c>
      <c r="U14" s="10">
        <v>0</v>
      </c>
      <c r="V14" s="52">
        <v>1</v>
      </c>
      <c r="W14" s="24"/>
      <c r="X14" s="66">
        <f t="shared" si="0"/>
        <v>1700</v>
      </c>
      <c r="Z14" s="84">
        <f t="shared" si="1"/>
        <v>0</v>
      </c>
    </row>
    <row r="15" spans="1:28" ht="49.5" customHeight="1">
      <c r="A15" s="2">
        <v>14</v>
      </c>
      <c r="B15" s="2" t="s">
        <v>18</v>
      </c>
      <c r="C15" s="2" t="s">
        <v>19</v>
      </c>
      <c r="D15" s="2">
        <v>28</v>
      </c>
      <c r="E15" s="2" t="s">
        <v>37</v>
      </c>
      <c r="F15" s="2">
        <v>197</v>
      </c>
      <c r="G15" s="2" t="s">
        <v>71</v>
      </c>
      <c r="H15" s="2" t="s">
        <v>92</v>
      </c>
      <c r="I15" s="2" t="s">
        <v>93</v>
      </c>
      <c r="J15" s="2">
        <v>1700</v>
      </c>
      <c r="K15" s="2" t="s">
        <v>24</v>
      </c>
      <c r="L15" s="2" t="s">
        <v>25</v>
      </c>
      <c r="M15" s="2" t="s">
        <v>26</v>
      </c>
      <c r="N15" s="2" t="s">
        <v>26</v>
      </c>
      <c r="O15" s="2" t="s">
        <v>26</v>
      </c>
      <c r="P15" s="13">
        <v>100</v>
      </c>
      <c r="Q15" s="2" t="s">
        <v>27</v>
      </c>
      <c r="R15" s="2" t="s">
        <v>28</v>
      </c>
      <c r="S15" s="2" t="s">
        <v>29</v>
      </c>
      <c r="T15" s="2" t="s">
        <v>94</v>
      </c>
      <c r="U15" s="10">
        <v>0</v>
      </c>
      <c r="V15" s="52">
        <v>1</v>
      </c>
      <c r="W15" s="24"/>
      <c r="X15" s="66">
        <f t="shared" si="0"/>
        <v>1700</v>
      </c>
      <c r="Z15" s="84">
        <f t="shared" si="1"/>
        <v>0</v>
      </c>
    </row>
    <row r="16" spans="1:28" ht="49.5" customHeight="1">
      <c r="A16" s="2">
        <v>15</v>
      </c>
      <c r="B16" s="2" t="s">
        <v>18</v>
      </c>
      <c r="C16" s="2" t="s">
        <v>19</v>
      </c>
      <c r="D16" s="2">
        <v>28</v>
      </c>
      <c r="E16" s="2" t="s">
        <v>37</v>
      </c>
      <c r="F16" s="2">
        <v>199</v>
      </c>
      <c r="G16" s="2" t="s">
        <v>96</v>
      </c>
      <c r="H16" s="2" t="s">
        <v>97</v>
      </c>
      <c r="I16" s="2" t="s">
        <v>98</v>
      </c>
      <c r="J16" s="2">
        <v>3700</v>
      </c>
      <c r="K16" s="2" t="s">
        <v>24</v>
      </c>
      <c r="L16" s="2" t="s">
        <v>25</v>
      </c>
      <c r="M16" s="2" t="s">
        <v>26</v>
      </c>
      <c r="N16" s="2" t="s">
        <v>26</v>
      </c>
      <c r="O16" s="2" t="s">
        <v>26</v>
      </c>
      <c r="P16" s="13">
        <v>100</v>
      </c>
      <c r="Q16" s="2" t="s">
        <v>27</v>
      </c>
      <c r="R16" s="2" t="s">
        <v>28</v>
      </c>
      <c r="S16" s="2" t="s">
        <v>29</v>
      </c>
      <c r="T16" s="2" t="s">
        <v>99</v>
      </c>
      <c r="U16" s="10">
        <v>0</v>
      </c>
      <c r="V16" s="52">
        <v>1</v>
      </c>
      <c r="W16" s="24"/>
      <c r="X16" s="66">
        <f t="shared" si="0"/>
        <v>3700</v>
      </c>
      <c r="Z16" s="84">
        <f t="shared" si="1"/>
        <v>0</v>
      </c>
    </row>
    <row r="17" spans="1:26" ht="49.5" customHeight="1">
      <c r="A17" s="2">
        <v>16</v>
      </c>
      <c r="B17" s="2" t="s">
        <v>18</v>
      </c>
      <c r="C17" s="2" t="s">
        <v>19</v>
      </c>
      <c r="D17" s="2">
        <v>28</v>
      </c>
      <c r="E17" s="2" t="s">
        <v>37</v>
      </c>
      <c r="F17" s="2">
        <v>199</v>
      </c>
      <c r="G17" s="2" t="s">
        <v>96</v>
      </c>
      <c r="H17" s="2" t="s">
        <v>100</v>
      </c>
      <c r="I17" s="2" t="s">
        <v>101</v>
      </c>
      <c r="J17" s="2">
        <v>1900</v>
      </c>
      <c r="K17" s="2" t="s">
        <v>24</v>
      </c>
      <c r="L17" s="2" t="s">
        <v>25</v>
      </c>
      <c r="M17" s="2" t="s">
        <v>26</v>
      </c>
      <c r="N17" s="2" t="s">
        <v>26</v>
      </c>
      <c r="O17" s="2" t="s">
        <v>26</v>
      </c>
      <c r="P17" s="13">
        <v>100</v>
      </c>
      <c r="Q17" s="2" t="s">
        <v>27</v>
      </c>
      <c r="R17" s="2" t="s">
        <v>28</v>
      </c>
      <c r="S17" s="2" t="s">
        <v>29</v>
      </c>
      <c r="T17" s="2" t="s">
        <v>102</v>
      </c>
      <c r="U17" s="10">
        <v>0.3</v>
      </c>
      <c r="V17" s="52">
        <v>0.7</v>
      </c>
      <c r="W17" s="24"/>
      <c r="X17" s="66">
        <f t="shared" si="0"/>
        <v>1330</v>
      </c>
      <c r="Z17" s="84">
        <f t="shared" si="1"/>
        <v>570</v>
      </c>
    </row>
    <row r="18" spans="1:26" ht="49.5" customHeight="1">
      <c r="A18" s="2">
        <v>17</v>
      </c>
      <c r="B18" s="2" t="s">
        <v>18</v>
      </c>
      <c r="C18" s="2" t="s">
        <v>19</v>
      </c>
      <c r="D18" s="2">
        <v>28</v>
      </c>
      <c r="E18" s="2" t="s">
        <v>37</v>
      </c>
      <c r="F18" s="2">
        <v>199</v>
      </c>
      <c r="G18" s="2" t="s">
        <v>96</v>
      </c>
      <c r="H18" s="2" t="s">
        <v>103</v>
      </c>
      <c r="I18" s="2" t="s">
        <v>104</v>
      </c>
      <c r="J18" s="2">
        <v>1900</v>
      </c>
      <c r="K18" s="2" t="s">
        <v>24</v>
      </c>
      <c r="L18" s="2" t="s">
        <v>25</v>
      </c>
      <c r="M18" s="2" t="s">
        <v>26</v>
      </c>
      <c r="N18" s="2" t="s">
        <v>26</v>
      </c>
      <c r="O18" s="2" t="s">
        <v>26</v>
      </c>
      <c r="P18" s="13">
        <v>100</v>
      </c>
      <c r="Q18" s="2" t="s">
        <v>35</v>
      </c>
      <c r="R18" s="2" t="s">
        <v>28</v>
      </c>
      <c r="S18" s="2" t="s">
        <v>29</v>
      </c>
      <c r="T18" s="2" t="s">
        <v>105</v>
      </c>
      <c r="U18" s="10">
        <v>0.6</v>
      </c>
      <c r="V18" s="52">
        <v>0.4</v>
      </c>
      <c r="W18" s="24"/>
      <c r="X18" s="66">
        <f t="shared" si="0"/>
        <v>760</v>
      </c>
      <c r="Z18" s="84">
        <f t="shared" si="1"/>
        <v>1140</v>
      </c>
    </row>
    <row r="19" spans="1:26" ht="49.5" customHeight="1">
      <c r="A19" s="2">
        <v>18</v>
      </c>
      <c r="B19" s="2" t="s">
        <v>18</v>
      </c>
      <c r="C19" s="2" t="s">
        <v>19</v>
      </c>
      <c r="D19" s="2">
        <v>28</v>
      </c>
      <c r="E19" s="2" t="s">
        <v>37</v>
      </c>
      <c r="F19" s="2">
        <v>199</v>
      </c>
      <c r="G19" s="2" t="s">
        <v>96</v>
      </c>
      <c r="H19" s="2" t="s">
        <v>106</v>
      </c>
      <c r="I19" s="2" t="s">
        <v>107</v>
      </c>
      <c r="J19" s="2">
        <v>700</v>
      </c>
      <c r="K19" s="2" t="s">
        <v>24</v>
      </c>
      <c r="L19" s="2" t="s">
        <v>25</v>
      </c>
      <c r="M19" s="2" t="s">
        <v>26</v>
      </c>
      <c r="N19" s="2" t="s">
        <v>26</v>
      </c>
      <c r="O19" s="2" t="s">
        <v>26</v>
      </c>
      <c r="P19" s="13">
        <v>100</v>
      </c>
      <c r="Q19" s="2" t="s">
        <v>27</v>
      </c>
      <c r="R19" s="2" t="s">
        <v>28</v>
      </c>
      <c r="S19" s="2" t="s">
        <v>29</v>
      </c>
      <c r="T19" s="2" t="s">
        <v>108</v>
      </c>
      <c r="U19" s="10">
        <v>0</v>
      </c>
      <c r="V19" s="52">
        <v>1</v>
      </c>
      <c r="W19" s="24"/>
      <c r="X19" s="66">
        <f t="shared" si="0"/>
        <v>700</v>
      </c>
      <c r="Z19" s="84">
        <f t="shared" si="1"/>
        <v>0</v>
      </c>
    </row>
    <row r="20" spans="1:26" ht="49.5" customHeight="1">
      <c r="A20" s="2">
        <v>19</v>
      </c>
      <c r="B20" s="2" t="s">
        <v>18</v>
      </c>
      <c r="C20" s="2" t="s">
        <v>19</v>
      </c>
      <c r="D20" s="2">
        <v>28</v>
      </c>
      <c r="E20" s="2" t="s">
        <v>37</v>
      </c>
      <c r="F20" s="2">
        <v>199</v>
      </c>
      <c r="G20" s="2" t="s">
        <v>96</v>
      </c>
      <c r="H20" s="2" t="s">
        <v>109</v>
      </c>
      <c r="I20" s="2" t="s">
        <v>110</v>
      </c>
      <c r="J20" s="2">
        <v>2600</v>
      </c>
      <c r="K20" s="2" t="s">
        <v>24</v>
      </c>
      <c r="L20" s="2" t="s">
        <v>82</v>
      </c>
      <c r="M20" s="2" t="s">
        <v>26</v>
      </c>
      <c r="N20" s="2" t="s">
        <v>26</v>
      </c>
      <c r="O20" s="2" t="s">
        <v>26</v>
      </c>
      <c r="P20" s="2" t="s">
        <v>83</v>
      </c>
      <c r="Q20" s="2" t="s">
        <v>27</v>
      </c>
      <c r="R20" s="2" t="s">
        <v>28</v>
      </c>
      <c r="S20" s="2" t="s">
        <v>29</v>
      </c>
      <c r="T20" s="2" t="s">
        <v>111</v>
      </c>
      <c r="U20" s="10">
        <v>0.9</v>
      </c>
      <c r="V20" s="52">
        <v>0.1</v>
      </c>
      <c r="W20" s="24"/>
      <c r="X20" s="66">
        <f t="shared" si="0"/>
        <v>260</v>
      </c>
      <c r="Z20" s="84">
        <f t="shared" si="1"/>
        <v>2340</v>
      </c>
    </row>
    <row r="21" spans="1:26" ht="49.5" customHeight="1">
      <c r="A21" s="2">
        <v>20</v>
      </c>
      <c r="B21" s="2" t="s">
        <v>18</v>
      </c>
      <c r="C21" s="2" t="s">
        <v>19</v>
      </c>
      <c r="D21" s="2">
        <v>28</v>
      </c>
      <c r="E21" s="2" t="s">
        <v>37</v>
      </c>
      <c r="F21" s="2">
        <v>199</v>
      </c>
      <c r="G21" s="2" t="s">
        <v>96</v>
      </c>
      <c r="H21" s="2" t="s">
        <v>112</v>
      </c>
      <c r="I21" s="2" t="s">
        <v>113</v>
      </c>
      <c r="J21" s="2">
        <v>1400</v>
      </c>
      <c r="K21" s="2" t="s">
        <v>24</v>
      </c>
      <c r="L21" s="2" t="s">
        <v>25</v>
      </c>
      <c r="M21" s="2" t="s">
        <v>26</v>
      </c>
      <c r="N21" s="2" t="s">
        <v>26</v>
      </c>
      <c r="O21" s="2" t="s">
        <v>26</v>
      </c>
      <c r="P21" s="13">
        <v>100</v>
      </c>
      <c r="Q21" s="2" t="s">
        <v>35</v>
      </c>
      <c r="R21" s="2" t="s">
        <v>28</v>
      </c>
      <c r="S21" s="2" t="s">
        <v>29</v>
      </c>
      <c r="T21" s="2" t="s">
        <v>114</v>
      </c>
      <c r="U21" s="10">
        <v>0.8</v>
      </c>
      <c r="V21" s="52">
        <v>0.2</v>
      </c>
      <c r="W21" s="24"/>
      <c r="X21" s="66">
        <f t="shared" si="0"/>
        <v>280</v>
      </c>
      <c r="Z21" s="84">
        <f t="shared" si="1"/>
        <v>1120</v>
      </c>
    </row>
    <row r="22" spans="1:26" ht="49.5" customHeight="1">
      <c r="A22" s="2">
        <v>21</v>
      </c>
      <c r="B22" s="2" t="s">
        <v>18</v>
      </c>
      <c r="C22" s="2" t="s">
        <v>19</v>
      </c>
      <c r="D22" s="2">
        <v>28</v>
      </c>
      <c r="E22" s="2" t="s">
        <v>37</v>
      </c>
      <c r="F22" s="2">
        <v>199</v>
      </c>
      <c r="G22" s="2" t="s">
        <v>96</v>
      </c>
      <c r="H22" s="2" t="s">
        <v>115</v>
      </c>
      <c r="I22" s="2" t="s">
        <v>116</v>
      </c>
      <c r="J22" s="2">
        <v>980</v>
      </c>
      <c r="K22" s="2" t="s">
        <v>24</v>
      </c>
      <c r="L22" s="2" t="s">
        <v>25</v>
      </c>
      <c r="M22" s="2" t="s">
        <v>26</v>
      </c>
      <c r="N22" s="2" t="s">
        <v>26</v>
      </c>
      <c r="O22" s="2" t="s">
        <v>26</v>
      </c>
      <c r="P22" s="13">
        <v>100</v>
      </c>
      <c r="Q22" s="2" t="s">
        <v>35</v>
      </c>
      <c r="R22" s="2" t="s">
        <v>28</v>
      </c>
      <c r="S22" s="2" t="s">
        <v>29</v>
      </c>
      <c r="T22" s="2" t="s">
        <v>117</v>
      </c>
      <c r="U22" s="10">
        <v>0</v>
      </c>
      <c r="V22" s="52">
        <v>1</v>
      </c>
      <c r="W22" s="24"/>
      <c r="X22" s="66">
        <f t="shared" si="0"/>
        <v>980</v>
      </c>
      <c r="Z22" s="84">
        <f t="shared" si="1"/>
        <v>0</v>
      </c>
    </row>
    <row r="23" spans="1:26" ht="49.5" customHeight="1">
      <c r="A23" s="2">
        <v>22</v>
      </c>
      <c r="B23" s="2" t="s">
        <v>18</v>
      </c>
      <c r="C23" s="2" t="s">
        <v>19</v>
      </c>
      <c r="D23" s="2">
        <v>28</v>
      </c>
      <c r="E23" s="2" t="s">
        <v>37</v>
      </c>
      <c r="F23" s="2">
        <v>199</v>
      </c>
      <c r="G23" s="2" t="s">
        <v>96</v>
      </c>
      <c r="H23" s="2" t="s">
        <v>118</v>
      </c>
      <c r="I23" s="2" t="s">
        <v>119</v>
      </c>
      <c r="J23" s="2">
        <v>1200</v>
      </c>
      <c r="K23" s="2" t="s">
        <v>24</v>
      </c>
      <c r="L23" s="2" t="s">
        <v>25</v>
      </c>
      <c r="M23" s="2" t="s">
        <v>26</v>
      </c>
      <c r="N23" s="2" t="s">
        <v>26</v>
      </c>
      <c r="O23" s="2" t="s">
        <v>26</v>
      </c>
      <c r="P23" s="13">
        <v>100</v>
      </c>
      <c r="Q23" s="2" t="s">
        <v>35</v>
      </c>
      <c r="R23" s="2" t="s">
        <v>28</v>
      </c>
      <c r="S23" s="2" t="s">
        <v>29</v>
      </c>
      <c r="T23" s="2" t="s">
        <v>120</v>
      </c>
      <c r="U23" s="10">
        <v>0</v>
      </c>
      <c r="V23" s="52">
        <v>1</v>
      </c>
      <c r="W23" s="24"/>
      <c r="X23" s="66">
        <f t="shared" si="0"/>
        <v>1200</v>
      </c>
      <c r="Z23" s="84">
        <f t="shared" si="1"/>
        <v>0</v>
      </c>
    </row>
    <row r="24" spans="1:26" ht="49.5" customHeight="1">
      <c r="A24" s="2">
        <v>23</v>
      </c>
      <c r="B24" s="2" t="s">
        <v>18</v>
      </c>
      <c r="C24" s="2" t="s">
        <v>19</v>
      </c>
      <c r="D24" s="2">
        <v>28</v>
      </c>
      <c r="E24" s="2" t="s">
        <v>37</v>
      </c>
      <c r="F24" s="2">
        <v>202</v>
      </c>
      <c r="G24" s="2" t="s">
        <v>121</v>
      </c>
      <c r="H24" s="2" t="s">
        <v>122</v>
      </c>
      <c r="I24" s="2" t="s">
        <v>123</v>
      </c>
      <c r="J24" s="2">
        <v>2000</v>
      </c>
      <c r="K24" s="2" t="s">
        <v>24</v>
      </c>
      <c r="L24" s="2" t="s">
        <v>25</v>
      </c>
      <c r="M24" s="2" t="s">
        <v>26</v>
      </c>
      <c r="N24" s="2" t="s">
        <v>26</v>
      </c>
      <c r="O24" s="2" t="s">
        <v>26</v>
      </c>
      <c r="P24" s="13">
        <v>100</v>
      </c>
      <c r="Q24" s="2" t="s">
        <v>27</v>
      </c>
      <c r="R24" s="2" t="s">
        <v>28</v>
      </c>
      <c r="S24" s="2" t="s">
        <v>29</v>
      </c>
      <c r="T24" s="2" t="s">
        <v>124</v>
      </c>
      <c r="U24" s="10">
        <v>0</v>
      </c>
      <c r="V24" s="52">
        <v>1</v>
      </c>
      <c r="W24" s="24"/>
      <c r="X24" s="66">
        <f t="shared" si="0"/>
        <v>2000</v>
      </c>
      <c r="Z24" s="84">
        <f t="shared" si="1"/>
        <v>0</v>
      </c>
    </row>
    <row r="25" spans="1:26" ht="49.5" customHeight="1">
      <c r="A25" s="2">
        <v>24</v>
      </c>
      <c r="B25" s="2" t="s">
        <v>18</v>
      </c>
      <c r="C25" s="2" t="s">
        <v>19</v>
      </c>
      <c r="D25" s="2">
        <v>28</v>
      </c>
      <c r="E25" s="2" t="s">
        <v>37</v>
      </c>
      <c r="F25" s="2">
        <v>202</v>
      </c>
      <c r="G25" s="2" t="s">
        <v>121</v>
      </c>
      <c r="H25" s="2" t="s">
        <v>125</v>
      </c>
      <c r="I25" s="2" t="s">
        <v>126</v>
      </c>
      <c r="J25" s="2">
        <v>700</v>
      </c>
      <c r="K25" s="2" t="s">
        <v>24</v>
      </c>
      <c r="L25" s="2" t="s">
        <v>82</v>
      </c>
      <c r="M25" s="2" t="s">
        <v>26</v>
      </c>
      <c r="N25" s="2" t="s">
        <v>26</v>
      </c>
      <c r="O25" s="2" t="s">
        <v>26</v>
      </c>
      <c r="P25" s="2" t="s">
        <v>83</v>
      </c>
      <c r="Q25" s="2" t="s">
        <v>35</v>
      </c>
      <c r="R25" s="2" t="s">
        <v>28</v>
      </c>
      <c r="S25" s="2" t="s">
        <v>29</v>
      </c>
      <c r="T25" s="2" t="s">
        <v>127</v>
      </c>
      <c r="U25" s="10">
        <v>0</v>
      </c>
      <c r="V25" s="52">
        <v>1</v>
      </c>
      <c r="W25" s="24"/>
      <c r="X25" s="66">
        <f t="shared" si="0"/>
        <v>700</v>
      </c>
      <c r="Z25" s="84">
        <f t="shared" si="1"/>
        <v>0</v>
      </c>
    </row>
    <row r="26" spans="1:26" ht="49.5" customHeight="1">
      <c r="A26" s="2">
        <v>25</v>
      </c>
      <c r="B26" s="2" t="s">
        <v>18</v>
      </c>
      <c r="C26" s="2" t="s">
        <v>19</v>
      </c>
      <c r="D26" s="2">
        <v>28</v>
      </c>
      <c r="E26" s="2" t="s">
        <v>37</v>
      </c>
      <c r="F26" s="2">
        <v>202</v>
      </c>
      <c r="G26" s="2" t="s">
        <v>121</v>
      </c>
      <c r="H26" s="2" t="s">
        <v>128</v>
      </c>
      <c r="I26" s="2" t="s">
        <v>129</v>
      </c>
      <c r="J26" s="2">
        <v>1500</v>
      </c>
      <c r="K26" s="2" t="s">
        <v>24</v>
      </c>
      <c r="L26" s="2" t="s">
        <v>25</v>
      </c>
      <c r="M26" s="2" t="s">
        <v>26</v>
      </c>
      <c r="N26" s="2" t="s">
        <v>26</v>
      </c>
      <c r="O26" s="2" t="s">
        <v>26</v>
      </c>
      <c r="P26" s="13">
        <v>100</v>
      </c>
      <c r="Q26" s="2" t="s">
        <v>27</v>
      </c>
      <c r="R26" s="2" t="s">
        <v>28</v>
      </c>
      <c r="S26" s="2" t="s">
        <v>29</v>
      </c>
      <c r="T26" s="2" t="s">
        <v>130</v>
      </c>
      <c r="U26" s="10">
        <v>0</v>
      </c>
      <c r="V26" s="52">
        <v>1</v>
      </c>
      <c r="W26" s="24"/>
      <c r="X26" s="66">
        <f t="shared" si="0"/>
        <v>1500</v>
      </c>
      <c r="Z26" s="84">
        <f t="shared" si="1"/>
        <v>0</v>
      </c>
    </row>
    <row r="27" spans="1:26" ht="49.5" customHeight="1">
      <c r="A27" s="2">
        <v>26</v>
      </c>
      <c r="B27" s="2" t="s">
        <v>18</v>
      </c>
      <c r="C27" s="2" t="s">
        <v>19</v>
      </c>
      <c r="D27" s="2">
        <v>28</v>
      </c>
      <c r="E27" s="2" t="s">
        <v>37</v>
      </c>
      <c r="F27" s="2">
        <v>202</v>
      </c>
      <c r="G27" s="2" t="s">
        <v>121</v>
      </c>
      <c r="H27" s="2" t="s">
        <v>131</v>
      </c>
      <c r="I27" s="2" t="s">
        <v>132</v>
      </c>
      <c r="J27" s="2">
        <v>300</v>
      </c>
      <c r="K27" s="2" t="s">
        <v>24</v>
      </c>
      <c r="L27" s="2" t="s">
        <v>25</v>
      </c>
      <c r="M27" s="2" t="s">
        <v>26</v>
      </c>
      <c r="N27" s="2" t="s">
        <v>26</v>
      </c>
      <c r="O27" s="2" t="s">
        <v>26</v>
      </c>
      <c r="P27" s="13">
        <v>100</v>
      </c>
      <c r="Q27" s="2" t="s">
        <v>35</v>
      </c>
      <c r="R27" s="2" t="s">
        <v>28</v>
      </c>
      <c r="S27" s="2" t="s">
        <v>29</v>
      </c>
      <c r="T27" s="2" t="s">
        <v>133</v>
      </c>
      <c r="U27" s="10">
        <v>0</v>
      </c>
      <c r="V27" s="52">
        <v>1</v>
      </c>
      <c r="W27" s="24"/>
      <c r="X27" s="66">
        <f t="shared" si="0"/>
        <v>300</v>
      </c>
      <c r="Z27" s="84">
        <f t="shared" si="1"/>
        <v>0</v>
      </c>
    </row>
    <row r="28" spans="1:26" ht="49.5" customHeight="1">
      <c r="A28" s="2">
        <v>27</v>
      </c>
      <c r="B28" s="2" t="s">
        <v>18</v>
      </c>
      <c r="C28" s="2" t="s">
        <v>19</v>
      </c>
      <c r="D28" s="2">
        <v>28</v>
      </c>
      <c r="E28" s="2" t="s">
        <v>37</v>
      </c>
      <c r="F28" s="2">
        <v>202</v>
      </c>
      <c r="G28" s="2" t="s">
        <v>121</v>
      </c>
      <c r="H28" s="2" t="s">
        <v>134</v>
      </c>
      <c r="I28" s="2" t="s">
        <v>135</v>
      </c>
      <c r="J28" s="2">
        <v>1900</v>
      </c>
      <c r="K28" s="2" t="s">
        <v>24</v>
      </c>
      <c r="L28" s="2" t="s">
        <v>25</v>
      </c>
      <c r="M28" s="2" t="s">
        <v>26</v>
      </c>
      <c r="N28" s="2" t="s">
        <v>26</v>
      </c>
      <c r="O28" s="2" t="s">
        <v>26</v>
      </c>
      <c r="P28" s="13">
        <v>100</v>
      </c>
      <c r="Q28" s="2" t="s">
        <v>35</v>
      </c>
      <c r="R28" s="2" t="s">
        <v>28</v>
      </c>
      <c r="S28" s="2" t="s">
        <v>29</v>
      </c>
      <c r="T28" s="2" t="s">
        <v>136</v>
      </c>
      <c r="U28" s="10">
        <v>0</v>
      </c>
      <c r="V28" s="52">
        <v>1</v>
      </c>
      <c r="W28" s="24"/>
      <c r="X28" s="66">
        <f t="shared" si="0"/>
        <v>1900</v>
      </c>
      <c r="Z28" s="84">
        <f t="shared" si="1"/>
        <v>0</v>
      </c>
    </row>
    <row r="29" spans="1:26" ht="49.5" customHeight="1">
      <c r="A29" s="2">
        <v>28</v>
      </c>
      <c r="B29" s="2" t="s">
        <v>18</v>
      </c>
      <c r="C29" s="2" t="s">
        <v>19</v>
      </c>
      <c r="D29" s="2">
        <v>28</v>
      </c>
      <c r="E29" s="2" t="s">
        <v>37</v>
      </c>
      <c r="F29" s="2">
        <v>202</v>
      </c>
      <c r="G29" s="2" t="s">
        <v>121</v>
      </c>
      <c r="H29" s="2" t="s">
        <v>137</v>
      </c>
      <c r="I29" s="2" t="s">
        <v>138</v>
      </c>
      <c r="J29" s="2">
        <v>700</v>
      </c>
      <c r="K29" s="2" t="s">
        <v>24</v>
      </c>
      <c r="L29" s="2" t="s">
        <v>25</v>
      </c>
      <c r="M29" s="2" t="s">
        <v>26</v>
      </c>
      <c r="N29" s="2" t="s">
        <v>26</v>
      </c>
      <c r="O29" s="2" t="s">
        <v>26</v>
      </c>
      <c r="P29" s="13">
        <v>100</v>
      </c>
      <c r="Q29" s="2" t="s">
        <v>35</v>
      </c>
      <c r="R29" s="2" t="s">
        <v>28</v>
      </c>
      <c r="S29" s="2" t="s">
        <v>29</v>
      </c>
      <c r="T29" s="2" t="s">
        <v>139</v>
      </c>
      <c r="U29" s="10">
        <v>0</v>
      </c>
      <c r="V29" s="52">
        <v>1</v>
      </c>
      <c r="W29" s="24"/>
      <c r="X29" s="66">
        <f t="shared" si="0"/>
        <v>700</v>
      </c>
      <c r="Z29" s="84">
        <f t="shared" si="1"/>
        <v>0</v>
      </c>
    </row>
    <row r="30" spans="1:26" ht="49.5" customHeight="1">
      <c r="A30" s="2">
        <v>29</v>
      </c>
      <c r="B30" s="2" t="s">
        <v>18</v>
      </c>
      <c r="C30" s="2" t="s">
        <v>19</v>
      </c>
      <c r="D30" s="2">
        <v>28</v>
      </c>
      <c r="E30" s="2" t="s">
        <v>37</v>
      </c>
      <c r="F30" s="2">
        <v>205</v>
      </c>
      <c r="G30" s="2" t="s">
        <v>140</v>
      </c>
      <c r="H30" s="2" t="s">
        <v>141</v>
      </c>
      <c r="I30" s="2" t="s">
        <v>142</v>
      </c>
      <c r="J30" s="2">
        <v>900</v>
      </c>
      <c r="K30" s="2" t="s">
        <v>24</v>
      </c>
      <c r="L30" s="2" t="s">
        <v>25</v>
      </c>
      <c r="M30" s="2" t="s">
        <v>26</v>
      </c>
      <c r="N30" s="2" t="s">
        <v>26</v>
      </c>
      <c r="O30" s="2" t="s">
        <v>26</v>
      </c>
      <c r="P30" s="13">
        <v>100</v>
      </c>
      <c r="Q30" s="2" t="s">
        <v>35</v>
      </c>
      <c r="R30" s="2" t="s">
        <v>28</v>
      </c>
      <c r="S30" s="2" t="s">
        <v>29</v>
      </c>
      <c r="T30" s="2" t="s">
        <v>143</v>
      </c>
      <c r="U30" s="10">
        <v>0</v>
      </c>
      <c r="V30" s="52">
        <v>1</v>
      </c>
      <c r="W30" s="24"/>
      <c r="X30" s="66">
        <f t="shared" si="0"/>
        <v>900</v>
      </c>
      <c r="Z30" s="84">
        <f t="shared" si="1"/>
        <v>0</v>
      </c>
    </row>
    <row r="31" spans="1:26" ht="49.5" customHeight="1">
      <c r="A31" s="2">
        <v>30</v>
      </c>
      <c r="B31" s="2" t="s">
        <v>18</v>
      </c>
      <c r="C31" s="2" t="s">
        <v>19</v>
      </c>
      <c r="D31" s="2">
        <v>28</v>
      </c>
      <c r="E31" s="2" t="s">
        <v>37</v>
      </c>
      <c r="F31" s="2">
        <v>206</v>
      </c>
      <c r="G31" s="2" t="s">
        <v>144</v>
      </c>
      <c r="H31" s="2" t="s">
        <v>145</v>
      </c>
      <c r="I31" s="2" t="s">
        <v>146</v>
      </c>
      <c r="J31" s="2">
        <v>550</v>
      </c>
      <c r="K31" s="2" t="s">
        <v>24</v>
      </c>
      <c r="L31" s="2" t="s">
        <v>25</v>
      </c>
      <c r="M31" s="2" t="s">
        <v>26</v>
      </c>
      <c r="N31" s="2" t="s">
        <v>26</v>
      </c>
      <c r="O31" s="2" t="s">
        <v>26</v>
      </c>
      <c r="P31" s="13">
        <v>100</v>
      </c>
      <c r="Q31" s="2" t="s">
        <v>35</v>
      </c>
      <c r="R31" s="2" t="s">
        <v>28</v>
      </c>
      <c r="S31" s="2" t="s">
        <v>29</v>
      </c>
      <c r="T31" s="2" t="s">
        <v>147</v>
      </c>
      <c r="U31" s="10">
        <v>0</v>
      </c>
      <c r="V31" s="52">
        <v>1</v>
      </c>
      <c r="W31" s="24"/>
      <c r="X31" s="66">
        <f t="shared" si="0"/>
        <v>550</v>
      </c>
      <c r="Z31" s="84">
        <f t="shared" si="1"/>
        <v>0</v>
      </c>
    </row>
    <row r="32" spans="1:26" ht="49.5" customHeight="1">
      <c r="A32" s="2">
        <v>31</v>
      </c>
      <c r="B32" s="2" t="s">
        <v>18</v>
      </c>
      <c r="C32" s="2" t="s">
        <v>19</v>
      </c>
      <c r="D32" s="2">
        <v>28</v>
      </c>
      <c r="E32" s="2" t="s">
        <v>37</v>
      </c>
      <c r="F32" s="2">
        <v>194</v>
      </c>
      <c r="G32" s="2" t="s">
        <v>62</v>
      </c>
      <c r="H32" s="2" t="s">
        <v>148</v>
      </c>
      <c r="I32" s="2" t="s">
        <v>149</v>
      </c>
      <c r="J32" s="2">
        <v>1040</v>
      </c>
      <c r="K32" s="2" t="s">
        <v>24</v>
      </c>
      <c r="L32" s="2" t="s">
        <v>82</v>
      </c>
      <c r="M32" s="2" t="s">
        <v>26</v>
      </c>
      <c r="N32" s="2" t="s">
        <v>26</v>
      </c>
      <c r="O32" s="2" t="s">
        <v>26</v>
      </c>
      <c r="P32" s="13"/>
      <c r="Q32" s="2" t="s">
        <v>150</v>
      </c>
      <c r="R32" s="2" t="s">
        <v>28</v>
      </c>
      <c r="S32" s="2" t="s">
        <v>29</v>
      </c>
      <c r="T32" s="2"/>
      <c r="U32" s="10">
        <v>1</v>
      </c>
      <c r="V32" s="52">
        <v>0</v>
      </c>
      <c r="W32" s="24"/>
      <c r="X32" s="66">
        <f t="shared" si="0"/>
        <v>0</v>
      </c>
      <c r="Z32" s="84">
        <f t="shared" si="1"/>
        <v>1040</v>
      </c>
    </row>
    <row r="33" spans="1:28" ht="49.5" customHeight="1">
      <c r="A33" s="2">
        <v>32</v>
      </c>
      <c r="B33" s="2" t="s">
        <v>18</v>
      </c>
      <c r="C33" s="2" t="s">
        <v>19</v>
      </c>
      <c r="D33" s="2">
        <v>28</v>
      </c>
      <c r="E33" s="2" t="s">
        <v>37</v>
      </c>
      <c r="F33" s="2">
        <v>197</v>
      </c>
      <c r="G33" s="2" t="s">
        <v>71</v>
      </c>
      <c r="H33" s="2" t="s">
        <v>151</v>
      </c>
      <c r="I33" s="2" t="s">
        <v>152</v>
      </c>
      <c r="J33" s="2">
        <v>100</v>
      </c>
      <c r="K33" s="2" t="s">
        <v>24</v>
      </c>
      <c r="L33" s="2" t="s">
        <v>82</v>
      </c>
      <c r="M33" s="2" t="s">
        <v>26</v>
      </c>
      <c r="N33" s="2" t="s">
        <v>26</v>
      </c>
      <c r="O33" s="2" t="s">
        <v>26</v>
      </c>
      <c r="P33" s="13"/>
      <c r="Q33" s="2" t="s">
        <v>153</v>
      </c>
      <c r="R33" s="2" t="s">
        <v>28</v>
      </c>
      <c r="S33" s="2" t="s">
        <v>29</v>
      </c>
      <c r="T33" s="2"/>
      <c r="U33" s="10">
        <v>1</v>
      </c>
      <c r="V33" s="52">
        <v>0</v>
      </c>
      <c r="W33" s="24"/>
      <c r="X33" s="66">
        <f t="shared" si="0"/>
        <v>0</v>
      </c>
      <c r="Z33" s="84">
        <f t="shared" si="1"/>
        <v>100</v>
      </c>
    </row>
    <row r="34" spans="1:28" ht="49.5" customHeight="1">
      <c r="A34" s="2">
        <v>33</v>
      </c>
      <c r="B34" s="2" t="s">
        <v>18</v>
      </c>
      <c r="C34" s="2" t="s">
        <v>19</v>
      </c>
      <c r="D34" s="2">
        <v>28</v>
      </c>
      <c r="E34" s="2" t="s">
        <v>37</v>
      </c>
      <c r="F34" s="2">
        <v>197</v>
      </c>
      <c r="G34" s="2" t="s">
        <v>71</v>
      </c>
      <c r="H34" s="2" t="s">
        <v>151</v>
      </c>
      <c r="I34" s="2" t="s">
        <v>152</v>
      </c>
      <c r="J34" s="2">
        <v>30</v>
      </c>
      <c r="K34" s="2" t="s">
        <v>24</v>
      </c>
      <c r="L34" s="2" t="s">
        <v>82</v>
      </c>
      <c r="M34" s="2" t="s">
        <v>26</v>
      </c>
      <c r="N34" s="2" t="s">
        <v>26</v>
      </c>
      <c r="O34" s="2" t="s">
        <v>26</v>
      </c>
      <c r="P34" s="13"/>
      <c r="Q34" s="2" t="s">
        <v>154</v>
      </c>
      <c r="R34" s="2" t="s">
        <v>28</v>
      </c>
      <c r="S34" s="2" t="s">
        <v>29</v>
      </c>
      <c r="T34" s="2"/>
      <c r="U34" s="10">
        <v>1</v>
      </c>
      <c r="V34" s="52">
        <v>0</v>
      </c>
      <c r="W34" s="24"/>
      <c r="X34" s="66">
        <f t="shared" ref="X34:X65" si="2">V34*J34</f>
        <v>0</v>
      </c>
      <c r="Z34" s="84">
        <f t="shared" si="1"/>
        <v>30</v>
      </c>
    </row>
    <row r="35" spans="1:28" ht="49.5" customHeight="1">
      <c r="A35" s="2">
        <v>34</v>
      </c>
      <c r="B35" s="2" t="s">
        <v>18</v>
      </c>
      <c r="C35" s="2" t="s">
        <v>19</v>
      </c>
      <c r="D35" s="2">
        <v>28</v>
      </c>
      <c r="E35" s="2" t="s">
        <v>37</v>
      </c>
      <c r="F35" s="2">
        <v>202</v>
      </c>
      <c r="G35" s="2" t="s">
        <v>121</v>
      </c>
      <c r="H35" s="2" t="s">
        <v>155</v>
      </c>
      <c r="I35" s="2" t="s">
        <v>156</v>
      </c>
      <c r="J35" s="2">
        <v>900</v>
      </c>
      <c r="K35" s="2" t="s">
        <v>24</v>
      </c>
      <c r="L35" s="2" t="s">
        <v>82</v>
      </c>
      <c r="M35" s="2" t="s">
        <v>26</v>
      </c>
      <c r="N35" s="2" t="s">
        <v>26</v>
      </c>
      <c r="O35" s="2" t="s">
        <v>26</v>
      </c>
      <c r="P35" s="13"/>
      <c r="Q35" s="2" t="s">
        <v>157</v>
      </c>
      <c r="R35" s="2" t="s">
        <v>28</v>
      </c>
      <c r="S35" s="2" t="s">
        <v>29</v>
      </c>
      <c r="T35" s="2"/>
      <c r="U35" s="10">
        <v>1</v>
      </c>
      <c r="V35" s="52">
        <v>0</v>
      </c>
      <c r="W35" s="24"/>
      <c r="X35" s="66">
        <f t="shared" si="2"/>
        <v>0</v>
      </c>
      <c r="Z35" s="84">
        <f t="shared" si="1"/>
        <v>900</v>
      </c>
    </row>
    <row r="36" spans="1:28" ht="49.5" customHeight="1">
      <c r="A36" s="2">
        <v>35</v>
      </c>
      <c r="B36" s="2" t="s">
        <v>18</v>
      </c>
      <c r="C36" s="2" t="s">
        <v>19</v>
      </c>
      <c r="D36" s="2">
        <v>28</v>
      </c>
      <c r="E36" s="2" t="s">
        <v>37</v>
      </c>
      <c r="F36" s="2">
        <v>194</v>
      </c>
      <c r="G36" s="2" t="s">
        <v>62</v>
      </c>
      <c r="H36" s="2" t="s">
        <v>158</v>
      </c>
      <c r="I36" s="2" t="s">
        <v>159</v>
      </c>
      <c r="J36" s="2">
        <v>5400</v>
      </c>
      <c r="K36" s="2" t="s">
        <v>24</v>
      </c>
      <c r="L36" s="2" t="s">
        <v>82</v>
      </c>
      <c r="M36" s="2" t="s">
        <v>26</v>
      </c>
      <c r="N36" s="2" t="s">
        <v>26</v>
      </c>
      <c r="O36" s="2" t="s">
        <v>26</v>
      </c>
      <c r="P36" s="13"/>
      <c r="Q36" s="2" t="s">
        <v>160</v>
      </c>
      <c r="R36" s="2" t="s">
        <v>28</v>
      </c>
      <c r="S36" s="2" t="s">
        <v>29</v>
      </c>
      <c r="T36" s="2"/>
      <c r="U36" s="10">
        <v>1</v>
      </c>
      <c r="V36" s="52">
        <v>0</v>
      </c>
      <c r="W36" s="24"/>
      <c r="X36" s="66">
        <f t="shared" si="2"/>
        <v>0</v>
      </c>
      <c r="Z36" s="84">
        <f t="shared" si="1"/>
        <v>5400</v>
      </c>
    </row>
    <row r="37" spans="1:28" ht="49.5" customHeight="1">
      <c r="A37" s="2">
        <v>36</v>
      </c>
      <c r="B37" s="2" t="s">
        <v>18</v>
      </c>
      <c r="C37" s="2" t="s">
        <v>19</v>
      </c>
      <c r="D37" s="2">
        <v>28</v>
      </c>
      <c r="E37" s="2" t="s">
        <v>37</v>
      </c>
      <c r="F37" s="2">
        <v>205</v>
      </c>
      <c r="G37" s="2" t="s">
        <v>140</v>
      </c>
      <c r="H37" s="2" t="s">
        <v>161</v>
      </c>
      <c r="I37" s="2" t="s">
        <v>162</v>
      </c>
      <c r="J37" s="2">
        <v>2400</v>
      </c>
      <c r="K37" s="2" t="s">
        <v>24</v>
      </c>
      <c r="L37" s="2" t="s">
        <v>82</v>
      </c>
      <c r="M37" s="2" t="s">
        <v>26</v>
      </c>
      <c r="N37" s="2" t="s">
        <v>26</v>
      </c>
      <c r="O37" s="2" t="s">
        <v>26</v>
      </c>
      <c r="P37" s="13"/>
      <c r="Q37" s="2" t="s">
        <v>163</v>
      </c>
      <c r="R37" s="2" t="s">
        <v>28</v>
      </c>
      <c r="S37" s="2" t="s">
        <v>29</v>
      </c>
      <c r="T37" s="2"/>
      <c r="U37" s="10">
        <v>1</v>
      </c>
      <c r="V37" s="52">
        <v>0</v>
      </c>
      <c r="W37" s="24"/>
      <c r="X37" s="66">
        <f t="shared" si="2"/>
        <v>0</v>
      </c>
      <c r="Z37" s="84">
        <f t="shared" si="1"/>
        <v>2400</v>
      </c>
    </row>
    <row r="38" spans="1:28" ht="49.5" customHeight="1">
      <c r="A38" s="2">
        <v>37</v>
      </c>
      <c r="B38" s="2" t="s">
        <v>18</v>
      </c>
      <c r="C38" s="2" t="s">
        <v>19</v>
      </c>
      <c r="D38" s="2">
        <v>28</v>
      </c>
      <c r="E38" s="2" t="s">
        <v>37</v>
      </c>
      <c r="F38" s="2">
        <v>5</v>
      </c>
      <c r="G38" s="2" t="s">
        <v>38</v>
      </c>
      <c r="H38" s="2" t="s">
        <v>164</v>
      </c>
      <c r="I38" s="2" t="s">
        <v>165</v>
      </c>
      <c r="J38" s="2">
        <v>600</v>
      </c>
      <c r="K38" s="2" t="s">
        <v>24</v>
      </c>
      <c r="L38" s="2" t="s">
        <v>82</v>
      </c>
      <c r="M38" s="2" t="s">
        <v>26</v>
      </c>
      <c r="N38" s="2" t="s">
        <v>26</v>
      </c>
      <c r="O38" s="2" t="s">
        <v>26</v>
      </c>
      <c r="P38" s="13"/>
      <c r="Q38" s="2" t="s">
        <v>166</v>
      </c>
      <c r="R38" s="2" t="s">
        <v>28</v>
      </c>
      <c r="S38" s="2" t="s">
        <v>29</v>
      </c>
      <c r="T38" s="2"/>
      <c r="U38" s="10">
        <v>1</v>
      </c>
      <c r="V38" s="52">
        <v>0</v>
      </c>
      <c r="W38" s="24"/>
      <c r="X38" s="66">
        <f t="shared" si="2"/>
        <v>0</v>
      </c>
      <c r="Z38" s="84">
        <f t="shared" si="1"/>
        <v>600</v>
      </c>
    </row>
    <row r="39" spans="1:28" ht="49.5" customHeight="1">
      <c r="A39" s="2">
        <v>38</v>
      </c>
      <c r="B39" s="2" t="s">
        <v>18</v>
      </c>
      <c r="C39" s="2" t="s">
        <v>19</v>
      </c>
      <c r="D39" s="2">
        <v>28</v>
      </c>
      <c r="E39" s="2" t="s">
        <v>37</v>
      </c>
      <c r="F39" s="2">
        <v>5</v>
      </c>
      <c r="G39" s="2" t="s">
        <v>38</v>
      </c>
      <c r="H39" s="2" t="s">
        <v>167</v>
      </c>
      <c r="I39" s="2" t="s">
        <v>168</v>
      </c>
      <c r="J39" s="2">
        <v>100</v>
      </c>
      <c r="K39" s="2" t="s">
        <v>24</v>
      </c>
      <c r="L39" s="2" t="s">
        <v>82</v>
      </c>
      <c r="M39" s="2" t="s">
        <v>26</v>
      </c>
      <c r="N39" s="2" t="s">
        <v>26</v>
      </c>
      <c r="O39" s="2" t="s">
        <v>26</v>
      </c>
      <c r="P39" s="13"/>
      <c r="Q39" s="2" t="s">
        <v>169</v>
      </c>
      <c r="R39" s="2" t="s">
        <v>28</v>
      </c>
      <c r="S39" s="2" t="s">
        <v>29</v>
      </c>
      <c r="T39" s="2"/>
      <c r="U39" s="10">
        <v>1</v>
      </c>
      <c r="V39" s="52">
        <v>0</v>
      </c>
      <c r="W39" s="24"/>
      <c r="X39" s="66">
        <f t="shared" si="2"/>
        <v>0</v>
      </c>
      <c r="Z39" s="84">
        <f t="shared" si="1"/>
        <v>100</v>
      </c>
    </row>
    <row r="40" spans="1:28" ht="49.5" customHeight="1">
      <c r="A40" s="2">
        <v>39</v>
      </c>
      <c r="B40" s="2" t="s">
        <v>18</v>
      </c>
      <c r="C40" s="2" t="s">
        <v>19</v>
      </c>
      <c r="D40" s="2">
        <v>28</v>
      </c>
      <c r="E40" s="2" t="s">
        <v>37</v>
      </c>
      <c r="F40" s="2">
        <v>205</v>
      </c>
      <c r="G40" s="2" t="s">
        <v>140</v>
      </c>
      <c r="H40" s="2" t="s">
        <v>170</v>
      </c>
      <c r="I40" s="2" t="s">
        <v>171</v>
      </c>
      <c r="J40" s="2">
        <v>300</v>
      </c>
      <c r="K40" s="2" t="s">
        <v>24</v>
      </c>
      <c r="L40" s="2" t="s">
        <v>82</v>
      </c>
      <c r="M40" s="2" t="s">
        <v>26</v>
      </c>
      <c r="N40" s="2" t="s">
        <v>26</v>
      </c>
      <c r="O40" s="2" t="s">
        <v>26</v>
      </c>
      <c r="P40" s="13"/>
      <c r="Q40" s="2" t="s">
        <v>169</v>
      </c>
      <c r="R40" s="2" t="s">
        <v>28</v>
      </c>
      <c r="S40" s="2" t="s">
        <v>29</v>
      </c>
      <c r="T40" s="2"/>
      <c r="U40" s="10">
        <v>1</v>
      </c>
      <c r="V40" s="52">
        <v>0</v>
      </c>
      <c r="W40" s="24"/>
      <c r="X40" s="66">
        <f t="shared" si="2"/>
        <v>0</v>
      </c>
      <c r="Z40" s="84">
        <f t="shared" si="1"/>
        <v>300</v>
      </c>
    </row>
    <row r="41" spans="1:28" ht="49.5" customHeight="1" thickBot="1">
      <c r="A41" s="2">
        <v>40</v>
      </c>
      <c r="B41" s="2" t="s">
        <v>18</v>
      </c>
      <c r="C41" s="2" t="s">
        <v>19</v>
      </c>
      <c r="D41" s="2">
        <v>28</v>
      </c>
      <c r="E41" s="2" t="s">
        <v>37</v>
      </c>
      <c r="F41" s="2">
        <v>199</v>
      </c>
      <c r="G41" s="2" t="s">
        <v>96</v>
      </c>
      <c r="H41" s="2" t="s">
        <v>112</v>
      </c>
      <c r="I41" s="2">
        <v>1323</v>
      </c>
      <c r="J41" s="2">
        <v>2880</v>
      </c>
      <c r="K41" s="2" t="s">
        <v>24</v>
      </c>
      <c r="L41" s="2" t="s">
        <v>82</v>
      </c>
      <c r="M41" s="2" t="s">
        <v>26</v>
      </c>
      <c r="N41" s="2" t="s">
        <v>26</v>
      </c>
      <c r="O41" s="2" t="s">
        <v>26</v>
      </c>
      <c r="P41" s="13"/>
      <c r="Q41" s="2" t="s">
        <v>1194</v>
      </c>
      <c r="R41" s="2" t="s">
        <v>28</v>
      </c>
      <c r="S41" s="95" t="s">
        <v>29</v>
      </c>
      <c r="T41" s="2"/>
      <c r="U41" s="10">
        <v>1</v>
      </c>
      <c r="V41" s="52">
        <v>0</v>
      </c>
      <c r="W41" s="24"/>
      <c r="X41" s="66">
        <f t="shared" si="2"/>
        <v>0</v>
      </c>
      <c r="Z41" s="84">
        <f t="shared" si="1"/>
        <v>2880</v>
      </c>
    </row>
    <row r="42" spans="1:28" ht="49.5" customHeight="1" thickBot="1">
      <c r="A42" s="2">
        <v>41</v>
      </c>
      <c r="B42" s="53" t="s">
        <v>1126</v>
      </c>
      <c r="C42" s="53" t="s">
        <v>19</v>
      </c>
      <c r="D42" s="53">
        <v>28</v>
      </c>
      <c r="E42" s="53" t="s">
        <v>37</v>
      </c>
      <c r="F42" s="53">
        <v>193</v>
      </c>
      <c r="G42" s="53" t="s">
        <v>42</v>
      </c>
      <c r="H42" s="53" t="s">
        <v>1153</v>
      </c>
      <c r="I42" s="53" t="s">
        <v>1154</v>
      </c>
      <c r="J42" s="53">
        <v>24594</v>
      </c>
      <c r="K42" s="53" t="s">
        <v>24</v>
      </c>
      <c r="L42" s="53" t="s">
        <v>25</v>
      </c>
      <c r="M42" s="53" t="s">
        <v>215</v>
      </c>
      <c r="N42" s="53" t="s">
        <v>215</v>
      </c>
      <c r="O42" s="53" t="s">
        <v>215</v>
      </c>
      <c r="P42" s="86">
        <v>60</v>
      </c>
      <c r="Q42" s="53" t="s">
        <v>1133</v>
      </c>
      <c r="R42" s="53" t="s">
        <v>1155</v>
      </c>
      <c r="S42" s="53" t="s">
        <v>1156</v>
      </c>
      <c r="T42" s="53" t="s">
        <v>1157</v>
      </c>
      <c r="U42" s="63">
        <v>0</v>
      </c>
      <c r="V42" s="64">
        <v>1</v>
      </c>
      <c r="W42" s="54"/>
      <c r="X42" s="67">
        <f t="shared" si="2"/>
        <v>24594</v>
      </c>
      <c r="Z42" s="87">
        <f t="shared" si="1"/>
        <v>0</v>
      </c>
      <c r="AA42" s="70">
        <f>SUM(Z2:Z42)</f>
        <v>29470</v>
      </c>
      <c r="AB42" s="93">
        <f>SUM(J2:J42)</f>
        <v>96574</v>
      </c>
    </row>
    <row r="43" spans="1:28" s="12" customFormat="1" ht="49.5" customHeight="1">
      <c r="A43" s="2">
        <v>42</v>
      </c>
      <c r="B43" s="55" t="s">
        <v>18</v>
      </c>
      <c r="C43" s="55" t="s">
        <v>46</v>
      </c>
      <c r="D43" s="55">
        <v>15</v>
      </c>
      <c r="E43" s="55" t="s">
        <v>172</v>
      </c>
      <c r="F43" s="55">
        <v>137</v>
      </c>
      <c r="G43" s="55" t="s">
        <v>173</v>
      </c>
      <c r="H43" s="56" t="s">
        <v>174</v>
      </c>
      <c r="I43" s="55" t="s">
        <v>175</v>
      </c>
      <c r="J43" s="56">
        <v>800</v>
      </c>
      <c r="K43" s="55" t="s">
        <v>89</v>
      </c>
      <c r="L43" s="55" t="s">
        <v>176</v>
      </c>
      <c r="M43" s="55" t="s">
        <v>26</v>
      </c>
      <c r="N43" s="55" t="s">
        <v>26</v>
      </c>
      <c r="O43" s="55" t="s">
        <v>26</v>
      </c>
      <c r="P43" s="57">
        <v>110</v>
      </c>
      <c r="Q43" s="55" t="s">
        <v>35</v>
      </c>
      <c r="R43" s="55" t="s">
        <v>177</v>
      </c>
      <c r="S43" s="58" t="s">
        <v>178</v>
      </c>
      <c r="T43" s="55" t="s">
        <v>179</v>
      </c>
      <c r="U43" s="59">
        <v>0</v>
      </c>
      <c r="V43" s="60">
        <v>1</v>
      </c>
      <c r="W43" s="61"/>
      <c r="X43" s="82">
        <f t="shared" si="2"/>
        <v>800</v>
      </c>
      <c r="Y43" s="25"/>
      <c r="Z43" s="83">
        <f t="shared" si="1"/>
        <v>0</v>
      </c>
      <c r="AA43" s="25"/>
    </row>
    <row r="44" spans="1:28" ht="49.5" customHeight="1">
      <c r="A44" s="2">
        <v>43</v>
      </c>
      <c r="B44" s="2" t="s">
        <v>18</v>
      </c>
      <c r="C44" s="2" t="s">
        <v>46</v>
      </c>
      <c r="D44" s="2">
        <v>15</v>
      </c>
      <c r="E44" s="2" t="s">
        <v>172</v>
      </c>
      <c r="F44" s="2">
        <v>137</v>
      </c>
      <c r="G44" s="2" t="s">
        <v>173</v>
      </c>
      <c r="H44" s="14" t="s">
        <v>180</v>
      </c>
      <c r="I44" s="2" t="s">
        <v>181</v>
      </c>
      <c r="J44" s="14">
        <v>800</v>
      </c>
      <c r="K44" s="2" t="s">
        <v>24</v>
      </c>
      <c r="L44" s="2" t="s">
        <v>82</v>
      </c>
      <c r="M44" s="2" t="s">
        <v>26</v>
      </c>
      <c r="N44" s="2" t="s">
        <v>26</v>
      </c>
      <c r="O44" s="2" t="s">
        <v>26</v>
      </c>
      <c r="P44" s="13">
        <v>110</v>
      </c>
      <c r="Q44" s="2" t="s">
        <v>35</v>
      </c>
      <c r="R44" s="2" t="s">
        <v>177</v>
      </c>
      <c r="S44" s="15" t="s">
        <v>178</v>
      </c>
      <c r="T44" s="2" t="s">
        <v>182</v>
      </c>
      <c r="U44" s="10">
        <v>1</v>
      </c>
      <c r="V44" s="52">
        <v>0</v>
      </c>
      <c r="W44" s="24"/>
      <c r="X44" s="66">
        <f t="shared" si="2"/>
        <v>0</v>
      </c>
      <c r="Z44" s="84">
        <f t="shared" si="1"/>
        <v>800</v>
      </c>
    </row>
    <row r="45" spans="1:28" ht="49.5" customHeight="1">
      <c r="A45" s="2">
        <v>44</v>
      </c>
      <c r="B45" s="2" t="s">
        <v>18</v>
      </c>
      <c r="C45" s="2" t="s">
        <v>46</v>
      </c>
      <c r="D45" s="2">
        <v>16</v>
      </c>
      <c r="E45" s="2" t="s">
        <v>183</v>
      </c>
      <c r="F45" s="2">
        <v>4</v>
      </c>
      <c r="G45" s="2" t="s">
        <v>184</v>
      </c>
      <c r="H45" s="14" t="s">
        <v>185</v>
      </c>
      <c r="I45" s="2" t="s">
        <v>186</v>
      </c>
      <c r="J45" s="2">
        <v>2500</v>
      </c>
      <c r="K45" s="2" t="s">
        <v>24</v>
      </c>
      <c r="L45" s="2" t="s">
        <v>176</v>
      </c>
      <c r="M45" s="2" t="s">
        <v>26</v>
      </c>
      <c r="N45" s="2" t="s">
        <v>26</v>
      </c>
      <c r="O45" s="2" t="s">
        <v>26</v>
      </c>
      <c r="P45" s="13">
        <v>80</v>
      </c>
      <c r="Q45" s="2" t="s">
        <v>35</v>
      </c>
      <c r="R45" s="2" t="s">
        <v>177</v>
      </c>
      <c r="S45" s="16" t="s">
        <v>187</v>
      </c>
      <c r="T45" s="2" t="s">
        <v>188</v>
      </c>
      <c r="U45" s="10">
        <v>0</v>
      </c>
      <c r="V45" s="52">
        <v>1</v>
      </c>
      <c r="W45" s="24"/>
      <c r="X45" s="66">
        <f t="shared" si="2"/>
        <v>2500</v>
      </c>
      <c r="Z45" s="84">
        <f t="shared" si="1"/>
        <v>0</v>
      </c>
    </row>
    <row r="46" spans="1:28" ht="49.5" customHeight="1">
      <c r="A46" s="2">
        <v>45</v>
      </c>
      <c r="B46" s="2" t="s">
        <v>18</v>
      </c>
      <c r="C46" s="2" t="s">
        <v>46</v>
      </c>
      <c r="D46" s="2">
        <v>16</v>
      </c>
      <c r="E46" s="2" t="s">
        <v>183</v>
      </c>
      <c r="F46" s="2">
        <v>137</v>
      </c>
      <c r="G46" s="2" t="s">
        <v>173</v>
      </c>
      <c r="H46" s="14" t="s">
        <v>189</v>
      </c>
      <c r="I46" s="2" t="s">
        <v>190</v>
      </c>
      <c r="J46" s="2">
        <v>3500</v>
      </c>
      <c r="K46" s="2" t="s">
        <v>24</v>
      </c>
      <c r="L46" s="2" t="s">
        <v>82</v>
      </c>
      <c r="M46" s="2" t="s">
        <v>26</v>
      </c>
      <c r="N46" s="2" t="s">
        <v>26</v>
      </c>
      <c r="O46" s="2" t="s">
        <v>26</v>
      </c>
      <c r="P46" s="13">
        <v>180</v>
      </c>
      <c r="Q46" s="2" t="s">
        <v>35</v>
      </c>
      <c r="R46" s="2" t="s">
        <v>177</v>
      </c>
      <c r="S46" s="16" t="s">
        <v>187</v>
      </c>
      <c r="T46" s="2" t="s">
        <v>191</v>
      </c>
      <c r="U46" s="10">
        <v>0</v>
      </c>
      <c r="V46" s="52">
        <v>1</v>
      </c>
      <c r="W46" s="24"/>
      <c r="X46" s="66">
        <f t="shared" si="2"/>
        <v>3500</v>
      </c>
      <c r="Z46" s="84">
        <f t="shared" si="1"/>
        <v>0</v>
      </c>
    </row>
    <row r="47" spans="1:28" ht="49.5" customHeight="1">
      <c r="A47" s="2">
        <v>46</v>
      </c>
      <c r="B47" s="2" t="s">
        <v>18</v>
      </c>
      <c r="C47" s="2" t="s">
        <v>46</v>
      </c>
      <c r="D47" s="2">
        <v>16</v>
      </c>
      <c r="E47" s="2" t="s">
        <v>183</v>
      </c>
      <c r="F47" s="2">
        <v>4</v>
      </c>
      <c r="G47" s="2" t="s">
        <v>184</v>
      </c>
      <c r="H47" s="14" t="s">
        <v>192</v>
      </c>
      <c r="I47" s="2" t="s">
        <v>193</v>
      </c>
      <c r="J47" s="2">
        <v>600</v>
      </c>
      <c r="K47" s="2" t="s">
        <v>24</v>
      </c>
      <c r="L47" s="2" t="s">
        <v>176</v>
      </c>
      <c r="M47" s="2" t="s">
        <v>26</v>
      </c>
      <c r="N47" s="2" t="s">
        <v>26</v>
      </c>
      <c r="O47" s="2" t="s">
        <v>26</v>
      </c>
      <c r="P47" s="13">
        <v>110</v>
      </c>
      <c r="Q47" s="2" t="s">
        <v>35</v>
      </c>
      <c r="R47" s="2" t="s">
        <v>177</v>
      </c>
      <c r="S47" s="16" t="s">
        <v>187</v>
      </c>
      <c r="T47" s="2" t="s">
        <v>194</v>
      </c>
      <c r="U47" s="10">
        <v>0</v>
      </c>
      <c r="V47" s="52">
        <v>1</v>
      </c>
      <c r="W47" s="24"/>
      <c r="X47" s="66">
        <f t="shared" si="2"/>
        <v>600</v>
      </c>
      <c r="Z47" s="84">
        <f t="shared" si="1"/>
        <v>0</v>
      </c>
    </row>
    <row r="48" spans="1:28" ht="49.5" customHeight="1">
      <c r="A48" s="2">
        <v>47</v>
      </c>
      <c r="B48" s="2" t="s">
        <v>18</v>
      </c>
      <c r="C48" s="2" t="s">
        <v>46</v>
      </c>
      <c r="D48" s="2">
        <v>16</v>
      </c>
      <c r="E48" s="2" t="s">
        <v>183</v>
      </c>
      <c r="F48" s="2">
        <v>4</v>
      </c>
      <c r="G48" s="2" t="s">
        <v>184</v>
      </c>
      <c r="H48" s="14" t="s">
        <v>195</v>
      </c>
      <c r="I48" s="2" t="s">
        <v>196</v>
      </c>
      <c r="J48" s="2">
        <v>800</v>
      </c>
      <c r="K48" s="2" t="s">
        <v>24</v>
      </c>
      <c r="L48" s="2" t="s">
        <v>176</v>
      </c>
      <c r="M48" s="2" t="s">
        <v>26</v>
      </c>
      <c r="N48" s="2" t="s">
        <v>26</v>
      </c>
      <c r="O48" s="2" t="s">
        <v>26</v>
      </c>
      <c r="P48" s="13">
        <v>110</v>
      </c>
      <c r="Q48" s="2" t="s">
        <v>35</v>
      </c>
      <c r="R48" s="2" t="s">
        <v>177</v>
      </c>
      <c r="S48" s="16" t="s">
        <v>187</v>
      </c>
      <c r="T48" s="2" t="s">
        <v>197</v>
      </c>
      <c r="U48" s="10">
        <v>0</v>
      </c>
      <c r="V48" s="52">
        <v>1</v>
      </c>
      <c r="W48" s="24"/>
      <c r="X48" s="66">
        <f t="shared" si="2"/>
        <v>800</v>
      </c>
      <c r="Z48" s="84">
        <f t="shared" si="1"/>
        <v>0</v>
      </c>
    </row>
    <row r="49" spans="1:27" ht="49.5" customHeight="1">
      <c r="A49" s="2">
        <v>48</v>
      </c>
      <c r="B49" s="2" t="s">
        <v>18</v>
      </c>
      <c r="C49" s="2" t="s">
        <v>46</v>
      </c>
      <c r="D49" s="2">
        <v>16</v>
      </c>
      <c r="E49" s="2" t="s">
        <v>183</v>
      </c>
      <c r="F49" s="2">
        <v>4</v>
      </c>
      <c r="G49" s="2" t="s">
        <v>184</v>
      </c>
      <c r="H49" s="14" t="s">
        <v>198</v>
      </c>
      <c r="I49" s="2" t="s">
        <v>199</v>
      </c>
      <c r="J49" s="2">
        <v>1700</v>
      </c>
      <c r="K49" s="2" t="s">
        <v>24</v>
      </c>
      <c r="L49" s="2" t="s">
        <v>25</v>
      </c>
      <c r="M49" s="2" t="s">
        <v>26</v>
      </c>
      <c r="N49" s="2" t="s">
        <v>26</v>
      </c>
      <c r="O49" s="2" t="s">
        <v>26</v>
      </c>
      <c r="P49" s="13">
        <v>90</v>
      </c>
      <c r="Q49" s="2" t="s">
        <v>35</v>
      </c>
      <c r="R49" s="2" t="s">
        <v>177</v>
      </c>
      <c r="S49" s="16" t="s">
        <v>187</v>
      </c>
      <c r="T49" s="2" t="s">
        <v>1254</v>
      </c>
      <c r="U49" s="10">
        <v>0</v>
      </c>
      <c r="V49" s="52">
        <v>0.97</v>
      </c>
      <c r="W49" s="24"/>
      <c r="X49" s="66">
        <f t="shared" si="2"/>
        <v>1649</v>
      </c>
      <c r="Z49" s="84">
        <f t="shared" si="1"/>
        <v>51</v>
      </c>
    </row>
    <row r="50" spans="1:27" ht="49.5" customHeight="1">
      <c r="A50" s="2">
        <v>49</v>
      </c>
      <c r="B50" s="2" t="s">
        <v>18</v>
      </c>
      <c r="C50" s="2" t="s">
        <v>46</v>
      </c>
      <c r="D50" s="2">
        <v>16</v>
      </c>
      <c r="E50" s="2" t="s">
        <v>183</v>
      </c>
      <c r="F50" s="2">
        <v>141</v>
      </c>
      <c r="G50" s="2" t="s">
        <v>200</v>
      </c>
      <c r="H50" s="2" t="s">
        <v>201</v>
      </c>
      <c r="I50" s="2" t="s">
        <v>202</v>
      </c>
      <c r="J50" s="2">
        <v>2500</v>
      </c>
      <c r="K50" s="2" t="s">
        <v>24</v>
      </c>
      <c r="L50" s="2" t="s">
        <v>25</v>
      </c>
      <c r="M50" s="2" t="s">
        <v>26</v>
      </c>
      <c r="N50" s="2" t="s">
        <v>26</v>
      </c>
      <c r="O50" s="2" t="s">
        <v>26</v>
      </c>
      <c r="P50" s="13">
        <v>100</v>
      </c>
      <c r="Q50" s="2" t="s">
        <v>35</v>
      </c>
      <c r="R50" s="2" t="s">
        <v>177</v>
      </c>
      <c r="S50" s="16" t="s">
        <v>203</v>
      </c>
      <c r="T50" s="2" t="s">
        <v>204</v>
      </c>
      <c r="U50" s="10">
        <v>0</v>
      </c>
      <c r="V50" s="52">
        <v>1</v>
      </c>
      <c r="W50" s="24"/>
      <c r="X50" s="66">
        <f t="shared" si="2"/>
        <v>2500</v>
      </c>
      <c r="Z50" s="84">
        <f t="shared" si="1"/>
        <v>0</v>
      </c>
    </row>
    <row r="51" spans="1:27" ht="49.5" customHeight="1">
      <c r="A51" s="2">
        <v>50</v>
      </c>
      <c r="B51" s="2" t="s">
        <v>18</v>
      </c>
      <c r="C51" s="2" t="s">
        <v>46</v>
      </c>
      <c r="D51" s="2">
        <v>16</v>
      </c>
      <c r="E51" s="2" t="s">
        <v>183</v>
      </c>
      <c r="F51" s="2">
        <v>4</v>
      </c>
      <c r="G51" s="2" t="s">
        <v>184</v>
      </c>
      <c r="H51" s="14" t="s">
        <v>205</v>
      </c>
      <c r="I51" s="2" t="s">
        <v>206</v>
      </c>
      <c r="J51" s="2">
        <v>800</v>
      </c>
      <c r="K51" s="2" t="s">
        <v>24</v>
      </c>
      <c r="L51" s="2" t="s">
        <v>25</v>
      </c>
      <c r="M51" s="2" t="s">
        <v>26</v>
      </c>
      <c r="N51" s="2" t="s">
        <v>26</v>
      </c>
      <c r="O51" s="2" t="s">
        <v>26</v>
      </c>
      <c r="P51" s="13">
        <v>110</v>
      </c>
      <c r="Q51" s="2" t="s">
        <v>35</v>
      </c>
      <c r="R51" s="2" t="s">
        <v>177</v>
      </c>
      <c r="S51" s="16" t="s">
        <v>187</v>
      </c>
      <c r="T51" s="2" t="s">
        <v>207</v>
      </c>
      <c r="U51" s="10">
        <v>1</v>
      </c>
      <c r="V51" s="52">
        <v>0</v>
      </c>
      <c r="W51" s="24"/>
      <c r="X51" s="66">
        <f t="shared" si="2"/>
        <v>0</v>
      </c>
      <c r="Z51" s="84">
        <f t="shared" si="1"/>
        <v>800</v>
      </c>
    </row>
    <row r="52" spans="1:27" ht="49.5" customHeight="1">
      <c r="A52" s="2">
        <v>51</v>
      </c>
      <c r="B52" s="2" t="s">
        <v>18</v>
      </c>
      <c r="C52" s="2" t="s">
        <v>46</v>
      </c>
      <c r="D52" s="2">
        <v>16</v>
      </c>
      <c r="E52" s="2" t="s">
        <v>183</v>
      </c>
      <c r="F52" s="2">
        <v>131</v>
      </c>
      <c r="G52" s="2" t="s">
        <v>208</v>
      </c>
      <c r="H52" s="14" t="s">
        <v>209</v>
      </c>
      <c r="I52" s="2" t="s">
        <v>210</v>
      </c>
      <c r="J52" s="2">
        <v>2000</v>
      </c>
      <c r="K52" s="2" t="s">
        <v>24</v>
      </c>
      <c r="L52" s="2" t="s">
        <v>25</v>
      </c>
      <c r="M52" s="2" t="s">
        <v>26</v>
      </c>
      <c r="N52" s="2" t="s">
        <v>26</v>
      </c>
      <c r="O52" s="2" t="s">
        <v>26</v>
      </c>
      <c r="P52" s="13">
        <v>100</v>
      </c>
      <c r="Q52" s="2" t="s">
        <v>35</v>
      </c>
      <c r="R52" s="2" t="s">
        <v>177</v>
      </c>
      <c r="S52" s="16" t="s">
        <v>203</v>
      </c>
      <c r="T52" s="2" t="s">
        <v>211</v>
      </c>
      <c r="U52" s="10">
        <v>0</v>
      </c>
      <c r="V52" s="52">
        <v>1</v>
      </c>
      <c r="W52" s="24"/>
      <c r="X52" s="66">
        <f t="shared" si="2"/>
        <v>2000</v>
      </c>
      <c r="Z52" s="84">
        <f t="shared" si="1"/>
        <v>0</v>
      </c>
    </row>
    <row r="53" spans="1:27" ht="49.5" customHeight="1">
      <c r="A53" s="2">
        <v>52</v>
      </c>
      <c r="B53" s="2" t="s">
        <v>18</v>
      </c>
      <c r="C53" s="2" t="s">
        <v>46</v>
      </c>
      <c r="D53" s="2">
        <v>16</v>
      </c>
      <c r="E53" s="2" t="s">
        <v>183</v>
      </c>
      <c r="F53" s="2">
        <v>141</v>
      </c>
      <c r="G53" s="2" t="s">
        <v>212</v>
      </c>
      <c r="H53" s="2" t="s">
        <v>213</v>
      </c>
      <c r="I53" s="2" t="s">
        <v>214</v>
      </c>
      <c r="J53" s="2">
        <v>800</v>
      </c>
      <c r="K53" s="2" t="s">
        <v>24</v>
      </c>
      <c r="L53" s="2" t="s">
        <v>25</v>
      </c>
      <c r="M53" s="2" t="s">
        <v>215</v>
      </c>
      <c r="N53" s="2" t="s">
        <v>26</v>
      </c>
      <c r="O53" s="2" t="s">
        <v>26</v>
      </c>
      <c r="P53" s="13">
        <v>80</v>
      </c>
      <c r="Q53" s="2" t="s">
        <v>35</v>
      </c>
      <c r="R53" s="2" t="s">
        <v>177</v>
      </c>
      <c r="S53" s="16" t="s">
        <v>203</v>
      </c>
      <c r="T53" s="2" t="s">
        <v>216</v>
      </c>
      <c r="U53" s="10">
        <v>0</v>
      </c>
      <c r="V53" s="52">
        <v>1</v>
      </c>
      <c r="W53" s="24"/>
      <c r="X53" s="66">
        <f t="shared" si="2"/>
        <v>800</v>
      </c>
      <c r="Z53" s="84">
        <f t="shared" si="1"/>
        <v>0</v>
      </c>
    </row>
    <row r="54" spans="1:27" ht="49.5" customHeight="1">
      <c r="A54" s="2">
        <v>53</v>
      </c>
      <c r="B54" s="2" t="s">
        <v>18</v>
      </c>
      <c r="C54" s="2" t="s">
        <v>46</v>
      </c>
      <c r="D54" s="2">
        <v>16</v>
      </c>
      <c r="E54" s="2" t="s">
        <v>183</v>
      </c>
      <c r="F54" s="2">
        <v>141</v>
      </c>
      <c r="G54" s="2" t="s">
        <v>212</v>
      </c>
      <c r="H54" s="14" t="s">
        <v>217</v>
      </c>
      <c r="I54" s="2" t="s">
        <v>218</v>
      </c>
      <c r="J54" s="2">
        <v>3500</v>
      </c>
      <c r="K54" s="2" t="s">
        <v>24</v>
      </c>
      <c r="L54" s="2" t="s">
        <v>25</v>
      </c>
      <c r="M54" s="2" t="s">
        <v>215</v>
      </c>
      <c r="N54" s="2" t="s">
        <v>26</v>
      </c>
      <c r="O54" s="2" t="s">
        <v>26</v>
      </c>
      <c r="P54" s="13">
        <v>110</v>
      </c>
      <c r="Q54" s="2" t="s">
        <v>35</v>
      </c>
      <c r="R54" s="2" t="s">
        <v>177</v>
      </c>
      <c r="S54" s="16" t="s">
        <v>203</v>
      </c>
      <c r="T54" s="2" t="s">
        <v>219</v>
      </c>
      <c r="U54" s="10">
        <v>0</v>
      </c>
      <c r="V54" s="52">
        <v>1</v>
      </c>
      <c r="W54" s="25"/>
      <c r="X54" s="66">
        <f t="shared" si="2"/>
        <v>3500</v>
      </c>
      <c r="Z54" s="84">
        <f t="shared" si="1"/>
        <v>0</v>
      </c>
    </row>
    <row r="55" spans="1:27" s="12" customFormat="1" ht="49.5" customHeight="1">
      <c r="A55" s="2">
        <v>54</v>
      </c>
      <c r="B55" s="2" t="s">
        <v>18</v>
      </c>
      <c r="C55" s="2" t="s">
        <v>46</v>
      </c>
      <c r="D55" s="2">
        <v>16</v>
      </c>
      <c r="E55" s="2" t="s">
        <v>183</v>
      </c>
      <c r="F55" s="2">
        <v>144</v>
      </c>
      <c r="G55" s="2" t="s">
        <v>220</v>
      </c>
      <c r="H55" s="14" t="s">
        <v>221</v>
      </c>
      <c r="I55" s="2" t="s">
        <v>222</v>
      </c>
      <c r="J55" s="2">
        <v>960</v>
      </c>
      <c r="K55" s="2" t="s">
        <v>24</v>
      </c>
      <c r="L55" s="2" t="s">
        <v>176</v>
      </c>
      <c r="M55" s="2" t="s">
        <v>26</v>
      </c>
      <c r="N55" s="2" t="s">
        <v>26</v>
      </c>
      <c r="O55" s="2" t="s">
        <v>26</v>
      </c>
      <c r="P55" s="13">
        <v>100</v>
      </c>
      <c r="Q55" s="2" t="s">
        <v>35</v>
      </c>
      <c r="R55" s="2" t="s">
        <v>177</v>
      </c>
      <c r="S55" s="16" t="s">
        <v>203</v>
      </c>
      <c r="T55" s="2" t="s">
        <v>223</v>
      </c>
      <c r="U55" s="10">
        <v>1</v>
      </c>
      <c r="V55" s="52">
        <v>0</v>
      </c>
      <c r="W55" s="24"/>
      <c r="X55" s="66">
        <f t="shared" si="2"/>
        <v>0</v>
      </c>
      <c r="Y55" s="25"/>
      <c r="Z55" s="84">
        <f t="shared" si="1"/>
        <v>960</v>
      </c>
      <c r="AA55" s="25"/>
    </row>
    <row r="56" spans="1:27" ht="49.5" customHeight="1">
      <c r="A56" s="2">
        <v>55</v>
      </c>
      <c r="B56" s="2" t="s">
        <v>18</v>
      </c>
      <c r="C56" s="2" t="s">
        <v>46</v>
      </c>
      <c r="D56" s="2">
        <v>16</v>
      </c>
      <c r="E56" s="2" t="s">
        <v>183</v>
      </c>
      <c r="F56" s="2">
        <v>144</v>
      </c>
      <c r="G56" s="2" t="s">
        <v>220</v>
      </c>
      <c r="H56" s="2" t="s">
        <v>224</v>
      </c>
      <c r="I56" s="2" t="s">
        <v>225</v>
      </c>
      <c r="J56" s="2">
        <v>5000</v>
      </c>
      <c r="K56" s="2" t="s">
        <v>24</v>
      </c>
      <c r="L56" s="2" t="s">
        <v>176</v>
      </c>
      <c r="M56" s="2" t="s">
        <v>26</v>
      </c>
      <c r="N56" s="2" t="s">
        <v>26</v>
      </c>
      <c r="O56" s="2" t="s">
        <v>26</v>
      </c>
      <c r="P56" s="13">
        <v>200</v>
      </c>
      <c r="Q56" s="2" t="s">
        <v>35</v>
      </c>
      <c r="R56" s="2" t="s">
        <v>177</v>
      </c>
      <c r="S56" s="16" t="s">
        <v>226</v>
      </c>
      <c r="T56" s="2" t="s">
        <v>1255</v>
      </c>
      <c r="U56" s="10">
        <v>0</v>
      </c>
      <c r="V56" s="52">
        <v>1</v>
      </c>
      <c r="W56" s="24"/>
      <c r="X56" s="66">
        <f t="shared" si="2"/>
        <v>5000</v>
      </c>
      <c r="Z56" s="84">
        <f t="shared" si="1"/>
        <v>0</v>
      </c>
    </row>
    <row r="57" spans="1:27" ht="49.5" customHeight="1">
      <c r="A57" s="2">
        <v>56</v>
      </c>
      <c r="B57" s="2" t="s">
        <v>18</v>
      </c>
      <c r="C57" s="2" t="s">
        <v>46</v>
      </c>
      <c r="D57" s="2">
        <v>16</v>
      </c>
      <c r="E57" s="2" t="s">
        <v>183</v>
      </c>
      <c r="F57" s="2">
        <v>144</v>
      </c>
      <c r="G57" s="2" t="s">
        <v>220</v>
      </c>
      <c r="H57" s="14" t="s">
        <v>227</v>
      </c>
      <c r="I57" s="2" t="s">
        <v>228</v>
      </c>
      <c r="J57" s="2">
        <v>400</v>
      </c>
      <c r="K57" s="2" t="s">
        <v>24</v>
      </c>
      <c r="L57" s="2" t="s">
        <v>176</v>
      </c>
      <c r="M57" s="2" t="s">
        <v>26</v>
      </c>
      <c r="N57" s="2" t="s">
        <v>26</v>
      </c>
      <c r="O57" s="2" t="s">
        <v>26</v>
      </c>
      <c r="P57" s="13">
        <v>120</v>
      </c>
      <c r="Q57" s="2" t="s">
        <v>35</v>
      </c>
      <c r="R57" s="2" t="s">
        <v>177</v>
      </c>
      <c r="S57" s="16" t="s">
        <v>203</v>
      </c>
      <c r="T57" s="2" t="s">
        <v>229</v>
      </c>
      <c r="U57" s="10">
        <v>0</v>
      </c>
      <c r="V57" s="52">
        <v>1</v>
      </c>
      <c r="W57" s="24"/>
      <c r="X57" s="66">
        <f t="shared" si="2"/>
        <v>400</v>
      </c>
      <c r="Z57" s="84">
        <f t="shared" si="1"/>
        <v>0</v>
      </c>
    </row>
    <row r="58" spans="1:27" ht="49.5" customHeight="1">
      <c r="A58" s="2">
        <v>57</v>
      </c>
      <c r="B58" s="2" t="s">
        <v>18</v>
      </c>
      <c r="C58" s="2" t="s">
        <v>46</v>
      </c>
      <c r="D58" s="2">
        <v>16</v>
      </c>
      <c r="E58" s="2" t="s">
        <v>183</v>
      </c>
      <c r="F58" s="2">
        <v>144</v>
      </c>
      <c r="G58" s="2" t="s">
        <v>220</v>
      </c>
      <c r="H58" s="14" t="s">
        <v>230</v>
      </c>
      <c r="I58" s="2" t="s">
        <v>231</v>
      </c>
      <c r="J58" s="2">
        <v>400</v>
      </c>
      <c r="K58" s="2" t="s">
        <v>24</v>
      </c>
      <c r="L58" s="2" t="s">
        <v>25</v>
      </c>
      <c r="M58" s="2" t="s">
        <v>26</v>
      </c>
      <c r="N58" s="2" t="s">
        <v>26</v>
      </c>
      <c r="O58" s="2" t="s">
        <v>26</v>
      </c>
      <c r="P58" s="13">
        <v>140</v>
      </c>
      <c r="Q58" s="2" t="s">
        <v>35</v>
      </c>
      <c r="R58" s="2" t="s">
        <v>177</v>
      </c>
      <c r="S58" s="16" t="s">
        <v>203</v>
      </c>
      <c r="T58" s="2" t="s">
        <v>232</v>
      </c>
      <c r="U58" s="10">
        <v>0</v>
      </c>
      <c r="V58" s="52">
        <v>1</v>
      </c>
      <c r="W58" s="24"/>
      <c r="X58" s="66">
        <f t="shared" si="2"/>
        <v>400</v>
      </c>
      <c r="Z58" s="84">
        <f t="shared" si="1"/>
        <v>0</v>
      </c>
    </row>
    <row r="59" spans="1:27" ht="49.5" customHeight="1">
      <c r="A59" s="2">
        <v>58</v>
      </c>
      <c r="B59" s="2" t="s">
        <v>18</v>
      </c>
      <c r="C59" s="2" t="s">
        <v>46</v>
      </c>
      <c r="D59" s="2">
        <v>16</v>
      </c>
      <c r="E59" s="2" t="s">
        <v>183</v>
      </c>
      <c r="F59" s="2">
        <v>144</v>
      </c>
      <c r="G59" s="2" t="s">
        <v>220</v>
      </c>
      <c r="H59" s="14" t="s">
        <v>233</v>
      </c>
      <c r="I59" s="2" t="s">
        <v>234</v>
      </c>
      <c r="J59" s="2">
        <v>1200</v>
      </c>
      <c r="K59" s="2" t="s">
        <v>24</v>
      </c>
      <c r="L59" s="2" t="s">
        <v>25</v>
      </c>
      <c r="M59" s="2" t="s">
        <v>26</v>
      </c>
      <c r="N59" s="2" t="s">
        <v>26</v>
      </c>
      <c r="O59" s="2" t="s">
        <v>26</v>
      </c>
      <c r="P59" s="13">
        <v>110</v>
      </c>
      <c r="Q59" s="2" t="s">
        <v>35</v>
      </c>
      <c r="R59" s="2" t="s">
        <v>177</v>
      </c>
      <c r="S59" s="16" t="s">
        <v>203</v>
      </c>
      <c r="T59" s="2" t="s">
        <v>235</v>
      </c>
      <c r="U59" s="10">
        <v>0</v>
      </c>
      <c r="V59" s="52">
        <v>1</v>
      </c>
      <c r="W59" s="24"/>
      <c r="X59" s="66">
        <f t="shared" si="2"/>
        <v>1200</v>
      </c>
      <c r="Z59" s="84">
        <f t="shared" si="1"/>
        <v>0</v>
      </c>
    </row>
    <row r="60" spans="1:27" ht="49.5" customHeight="1">
      <c r="A60" s="2">
        <v>59</v>
      </c>
      <c r="B60" s="2" t="s">
        <v>18</v>
      </c>
      <c r="C60" s="2" t="s">
        <v>46</v>
      </c>
      <c r="D60" s="2">
        <v>16</v>
      </c>
      <c r="E60" s="2" t="s">
        <v>183</v>
      </c>
      <c r="F60" s="2">
        <v>144</v>
      </c>
      <c r="G60" s="2" t="s">
        <v>220</v>
      </c>
      <c r="H60" s="14" t="s">
        <v>236</v>
      </c>
      <c r="I60" s="2" t="s">
        <v>237</v>
      </c>
      <c r="J60" s="2">
        <v>2400</v>
      </c>
      <c r="K60" s="2" t="s">
        <v>24</v>
      </c>
      <c r="L60" s="2" t="s">
        <v>25</v>
      </c>
      <c r="M60" s="2" t="s">
        <v>215</v>
      </c>
      <c r="N60" s="2" t="s">
        <v>26</v>
      </c>
      <c r="O60" s="2" t="s">
        <v>26</v>
      </c>
      <c r="P60" s="13">
        <v>100</v>
      </c>
      <c r="Q60" s="2" t="s">
        <v>35</v>
      </c>
      <c r="R60" s="2" t="s">
        <v>177</v>
      </c>
      <c r="S60" s="16" t="s">
        <v>203</v>
      </c>
      <c r="T60" s="2" t="s">
        <v>238</v>
      </c>
      <c r="U60" s="10">
        <v>1</v>
      </c>
      <c r="V60" s="52">
        <v>0</v>
      </c>
      <c r="W60" s="24"/>
      <c r="X60" s="66">
        <f t="shared" si="2"/>
        <v>0</v>
      </c>
      <c r="Z60" s="84">
        <f t="shared" si="1"/>
        <v>2400</v>
      </c>
    </row>
    <row r="61" spans="1:27" ht="49.5" customHeight="1">
      <c r="A61" s="2">
        <v>60</v>
      </c>
      <c r="B61" s="2" t="s">
        <v>18</v>
      </c>
      <c r="C61" s="2" t="s">
        <v>46</v>
      </c>
      <c r="D61" s="2">
        <v>16</v>
      </c>
      <c r="E61" s="2" t="s">
        <v>183</v>
      </c>
      <c r="F61" s="2">
        <v>144</v>
      </c>
      <c r="G61" s="2" t="s">
        <v>220</v>
      </c>
      <c r="H61" s="14" t="s">
        <v>239</v>
      </c>
      <c r="I61" s="2" t="s">
        <v>240</v>
      </c>
      <c r="J61" s="2">
        <v>850</v>
      </c>
      <c r="K61" s="2" t="s">
        <v>24</v>
      </c>
      <c r="L61" s="2" t="s">
        <v>25</v>
      </c>
      <c r="M61" s="2" t="s">
        <v>26</v>
      </c>
      <c r="N61" s="2" t="s">
        <v>26</v>
      </c>
      <c r="O61" s="2" t="s">
        <v>215</v>
      </c>
      <c r="P61" s="13">
        <v>150</v>
      </c>
      <c r="Q61" s="2" t="s">
        <v>35</v>
      </c>
      <c r="R61" s="2" t="s">
        <v>177</v>
      </c>
      <c r="S61" s="16" t="s">
        <v>203</v>
      </c>
      <c r="T61" s="2" t="s">
        <v>241</v>
      </c>
      <c r="U61" s="10">
        <v>0</v>
      </c>
      <c r="V61" s="52">
        <v>1</v>
      </c>
      <c r="W61" s="24"/>
      <c r="X61" s="66">
        <f t="shared" si="2"/>
        <v>850</v>
      </c>
      <c r="Z61" s="84">
        <f t="shared" si="1"/>
        <v>0</v>
      </c>
    </row>
    <row r="62" spans="1:27" ht="49.5" customHeight="1">
      <c r="A62" s="2">
        <v>61</v>
      </c>
      <c r="B62" s="2" t="s">
        <v>18</v>
      </c>
      <c r="C62" s="2" t="s">
        <v>46</v>
      </c>
      <c r="D62" s="2">
        <v>16</v>
      </c>
      <c r="E62" s="2" t="s">
        <v>183</v>
      </c>
      <c r="F62" s="2">
        <v>145</v>
      </c>
      <c r="G62" s="2" t="s">
        <v>242</v>
      </c>
      <c r="H62" s="2" t="s">
        <v>243</v>
      </c>
      <c r="I62" s="2" t="s">
        <v>244</v>
      </c>
      <c r="J62" s="2">
        <v>1500</v>
      </c>
      <c r="K62" s="2" t="s">
        <v>24</v>
      </c>
      <c r="L62" s="2" t="s">
        <v>176</v>
      </c>
      <c r="M62" s="2" t="s">
        <v>26</v>
      </c>
      <c r="N62" s="2" t="s">
        <v>26</v>
      </c>
      <c r="O62" s="2" t="s">
        <v>26</v>
      </c>
      <c r="P62" s="13">
        <v>100</v>
      </c>
      <c r="Q62" s="2" t="s">
        <v>35</v>
      </c>
      <c r="R62" s="2" t="s">
        <v>177</v>
      </c>
      <c r="S62" s="16" t="s">
        <v>226</v>
      </c>
      <c r="T62" s="2" t="s">
        <v>1256</v>
      </c>
      <c r="U62" s="10">
        <v>0.4</v>
      </c>
      <c r="V62" s="52">
        <v>0.6</v>
      </c>
      <c r="W62" s="24"/>
      <c r="X62" s="66">
        <f t="shared" si="2"/>
        <v>900</v>
      </c>
      <c r="Z62" s="84">
        <f t="shared" si="1"/>
        <v>600</v>
      </c>
    </row>
    <row r="63" spans="1:27" ht="49.5" customHeight="1">
      <c r="A63" s="2">
        <v>62</v>
      </c>
      <c r="B63" s="2" t="s">
        <v>18</v>
      </c>
      <c r="C63" s="2" t="s">
        <v>46</v>
      </c>
      <c r="D63" s="2">
        <v>16</v>
      </c>
      <c r="E63" s="2" t="s">
        <v>183</v>
      </c>
      <c r="F63" s="2">
        <v>149</v>
      </c>
      <c r="G63" s="2" t="s">
        <v>245</v>
      </c>
      <c r="H63" s="14" t="s">
        <v>246</v>
      </c>
      <c r="I63" s="2" t="s">
        <v>247</v>
      </c>
      <c r="J63" s="2">
        <v>1300</v>
      </c>
      <c r="K63" s="2" t="s">
        <v>24</v>
      </c>
      <c r="L63" s="2" t="s">
        <v>25</v>
      </c>
      <c r="M63" s="2" t="s">
        <v>26</v>
      </c>
      <c r="N63" s="2" t="s">
        <v>26</v>
      </c>
      <c r="O63" s="2" t="s">
        <v>26</v>
      </c>
      <c r="P63" s="13">
        <v>80</v>
      </c>
      <c r="Q63" s="2" t="s">
        <v>35</v>
      </c>
      <c r="R63" s="2" t="s">
        <v>177</v>
      </c>
      <c r="S63" s="16" t="s">
        <v>610</v>
      </c>
      <c r="T63" s="2" t="s">
        <v>248</v>
      </c>
      <c r="U63" s="10">
        <v>0</v>
      </c>
      <c r="V63" s="52">
        <v>1</v>
      </c>
      <c r="W63" s="24"/>
      <c r="X63" s="66">
        <f t="shared" si="2"/>
        <v>1300</v>
      </c>
      <c r="Z63" s="84">
        <f t="shared" si="1"/>
        <v>0</v>
      </c>
    </row>
    <row r="64" spans="1:27" ht="49.5" customHeight="1">
      <c r="A64" s="2">
        <v>63</v>
      </c>
      <c r="B64" s="2" t="s">
        <v>18</v>
      </c>
      <c r="C64" s="2" t="s">
        <v>46</v>
      </c>
      <c r="D64" s="2">
        <v>16</v>
      </c>
      <c r="E64" s="2" t="s">
        <v>183</v>
      </c>
      <c r="F64" s="2">
        <v>149</v>
      </c>
      <c r="G64" s="2" t="s">
        <v>245</v>
      </c>
      <c r="H64" s="2" t="s">
        <v>249</v>
      </c>
      <c r="I64" s="2" t="s">
        <v>250</v>
      </c>
      <c r="J64" s="2">
        <v>3500</v>
      </c>
      <c r="K64" s="2" t="s">
        <v>24</v>
      </c>
      <c r="L64" s="2" t="s">
        <v>82</v>
      </c>
      <c r="M64" s="2" t="s">
        <v>26</v>
      </c>
      <c r="N64" s="2" t="s">
        <v>26</v>
      </c>
      <c r="O64" s="2" t="s">
        <v>26</v>
      </c>
      <c r="P64" s="13">
        <v>70</v>
      </c>
      <c r="Q64" s="2" t="s">
        <v>35</v>
      </c>
      <c r="R64" s="2" t="s">
        <v>177</v>
      </c>
      <c r="S64" s="16" t="s">
        <v>610</v>
      </c>
      <c r="T64" s="2" t="s">
        <v>251</v>
      </c>
      <c r="U64" s="10">
        <v>0.18</v>
      </c>
      <c r="V64" s="52">
        <v>0.82</v>
      </c>
      <c r="W64" s="24"/>
      <c r="X64" s="66">
        <f t="shared" si="2"/>
        <v>2870</v>
      </c>
      <c r="Z64" s="84">
        <f t="shared" si="1"/>
        <v>630</v>
      </c>
    </row>
    <row r="65" spans="1:26" ht="49.5" customHeight="1">
      <c r="A65" s="2">
        <v>64</v>
      </c>
      <c r="B65" s="2" t="s">
        <v>18</v>
      </c>
      <c r="C65" s="2" t="s">
        <v>46</v>
      </c>
      <c r="D65" s="2">
        <v>16</v>
      </c>
      <c r="E65" s="2" t="s">
        <v>183</v>
      </c>
      <c r="F65" s="2">
        <v>149</v>
      </c>
      <c r="G65" s="2" t="s">
        <v>245</v>
      </c>
      <c r="H65" s="2" t="s">
        <v>252</v>
      </c>
      <c r="I65" s="2" t="s">
        <v>253</v>
      </c>
      <c r="J65" s="2">
        <v>1100</v>
      </c>
      <c r="K65" s="2" t="s">
        <v>24</v>
      </c>
      <c r="L65" s="2" t="s">
        <v>82</v>
      </c>
      <c r="M65" s="2" t="s">
        <v>26</v>
      </c>
      <c r="N65" s="2" t="s">
        <v>26</v>
      </c>
      <c r="O65" s="2" t="s">
        <v>26</v>
      </c>
      <c r="P65" s="13">
        <v>80</v>
      </c>
      <c r="Q65" s="2" t="s">
        <v>35</v>
      </c>
      <c r="R65" s="2" t="s">
        <v>177</v>
      </c>
      <c r="S65" s="16" t="s">
        <v>254</v>
      </c>
      <c r="T65" s="2" t="s">
        <v>255</v>
      </c>
      <c r="U65" s="10">
        <v>0</v>
      </c>
      <c r="V65" s="52">
        <v>1</v>
      </c>
      <c r="W65" s="24"/>
      <c r="X65" s="66">
        <f t="shared" si="2"/>
        <v>1100</v>
      </c>
      <c r="Z65" s="84">
        <f t="shared" si="1"/>
        <v>0</v>
      </c>
    </row>
    <row r="66" spans="1:26" ht="49.5" customHeight="1">
      <c r="A66" s="2">
        <v>65</v>
      </c>
      <c r="B66" s="2" t="s">
        <v>18</v>
      </c>
      <c r="C66" s="2" t="s">
        <v>46</v>
      </c>
      <c r="D66" s="2">
        <v>16</v>
      </c>
      <c r="E66" s="2" t="s">
        <v>183</v>
      </c>
      <c r="F66" s="2">
        <v>149</v>
      </c>
      <c r="G66" s="2" t="s">
        <v>245</v>
      </c>
      <c r="H66" s="2" t="s">
        <v>256</v>
      </c>
      <c r="I66" s="2" t="s">
        <v>257</v>
      </c>
      <c r="J66" s="2">
        <v>500</v>
      </c>
      <c r="K66" s="2" t="s">
        <v>24</v>
      </c>
      <c r="L66" s="2" t="s">
        <v>82</v>
      </c>
      <c r="M66" s="2" t="s">
        <v>26</v>
      </c>
      <c r="N66" s="2" t="s">
        <v>26</v>
      </c>
      <c r="O66" s="2" t="s">
        <v>26</v>
      </c>
      <c r="P66" s="13">
        <v>150</v>
      </c>
      <c r="Q66" s="2" t="s">
        <v>35</v>
      </c>
      <c r="R66" s="2" t="s">
        <v>177</v>
      </c>
      <c r="S66" s="16" t="s">
        <v>203</v>
      </c>
      <c r="T66" s="2" t="s">
        <v>258</v>
      </c>
      <c r="U66" s="10">
        <v>0</v>
      </c>
      <c r="V66" s="52">
        <v>1</v>
      </c>
      <c r="W66" s="24"/>
      <c r="X66" s="66">
        <f t="shared" ref="X66:X97" si="3">V66*J66</f>
        <v>500</v>
      </c>
      <c r="Z66" s="84">
        <f t="shared" ref="Z66:Z128" si="4">J66-X66</f>
        <v>0</v>
      </c>
    </row>
    <row r="67" spans="1:26" ht="49.5" customHeight="1">
      <c r="A67" s="2">
        <v>66</v>
      </c>
      <c r="B67" s="2" t="s">
        <v>18</v>
      </c>
      <c r="C67" s="2" t="s">
        <v>46</v>
      </c>
      <c r="D67" s="2">
        <v>16</v>
      </c>
      <c r="E67" s="2" t="s">
        <v>183</v>
      </c>
      <c r="F67" s="2">
        <v>149</v>
      </c>
      <c r="G67" s="2" t="s">
        <v>245</v>
      </c>
      <c r="H67" s="2" t="s">
        <v>259</v>
      </c>
      <c r="I67" s="2" t="s">
        <v>260</v>
      </c>
      <c r="J67" s="2">
        <v>600</v>
      </c>
      <c r="K67" s="2" t="s">
        <v>24</v>
      </c>
      <c r="L67" s="2" t="s">
        <v>82</v>
      </c>
      <c r="M67" s="2" t="s">
        <v>26</v>
      </c>
      <c r="N67" s="2" t="s">
        <v>26</v>
      </c>
      <c r="O67" s="2" t="s">
        <v>26</v>
      </c>
      <c r="P67" s="13"/>
      <c r="Q67" s="2" t="s">
        <v>261</v>
      </c>
      <c r="R67" s="2" t="s">
        <v>177</v>
      </c>
      <c r="S67" s="16" t="s">
        <v>610</v>
      </c>
      <c r="T67" s="2" t="s">
        <v>1257</v>
      </c>
      <c r="U67" s="10">
        <v>1</v>
      </c>
      <c r="V67" s="52">
        <v>0</v>
      </c>
      <c r="W67" s="24"/>
      <c r="X67" s="66">
        <f t="shared" si="3"/>
        <v>0</v>
      </c>
      <c r="Z67" s="84">
        <f t="shared" si="4"/>
        <v>600</v>
      </c>
    </row>
    <row r="68" spans="1:26" ht="49.5" customHeight="1">
      <c r="A68" s="2">
        <v>67</v>
      </c>
      <c r="B68" s="2" t="s">
        <v>18</v>
      </c>
      <c r="C68" s="2" t="s">
        <v>46</v>
      </c>
      <c r="D68" s="2">
        <v>16</v>
      </c>
      <c r="E68" s="2" t="s">
        <v>183</v>
      </c>
      <c r="F68" s="2">
        <v>149</v>
      </c>
      <c r="G68" s="2" t="s">
        <v>245</v>
      </c>
      <c r="H68" s="2" t="s">
        <v>262</v>
      </c>
      <c r="I68" s="2" t="s">
        <v>263</v>
      </c>
      <c r="J68" s="2">
        <v>1092</v>
      </c>
      <c r="K68" s="2" t="s">
        <v>24</v>
      </c>
      <c r="L68" s="2" t="s">
        <v>82</v>
      </c>
      <c r="M68" s="2" t="s">
        <v>26</v>
      </c>
      <c r="N68" s="2" t="s">
        <v>26</v>
      </c>
      <c r="O68" s="2" t="s">
        <v>26</v>
      </c>
      <c r="P68" s="13"/>
      <c r="Q68" s="2" t="s">
        <v>264</v>
      </c>
      <c r="R68" s="2" t="s">
        <v>177</v>
      </c>
      <c r="S68" s="16" t="s">
        <v>610</v>
      </c>
      <c r="T68" s="2" t="s">
        <v>1263</v>
      </c>
      <c r="U68" s="10">
        <v>1</v>
      </c>
      <c r="V68" s="52">
        <v>0</v>
      </c>
      <c r="W68" s="24"/>
      <c r="X68" s="66">
        <f t="shared" si="3"/>
        <v>0</v>
      </c>
      <c r="Z68" s="84">
        <f t="shared" si="4"/>
        <v>1092</v>
      </c>
    </row>
    <row r="69" spans="1:26" ht="49.5" customHeight="1">
      <c r="A69" s="2">
        <v>68</v>
      </c>
      <c r="B69" s="2" t="s">
        <v>18</v>
      </c>
      <c r="C69" s="2" t="s">
        <v>46</v>
      </c>
      <c r="D69" s="2">
        <v>16</v>
      </c>
      <c r="E69" s="2" t="s">
        <v>183</v>
      </c>
      <c r="F69" s="2">
        <v>149</v>
      </c>
      <c r="G69" s="2" t="s">
        <v>245</v>
      </c>
      <c r="H69" s="2" t="s">
        <v>262</v>
      </c>
      <c r="I69" s="2" t="s">
        <v>265</v>
      </c>
      <c r="J69" s="2">
        <v>75</v>
      </c>
      <c r="K69" s="2" t="s">
        <v>24</v>
      </c>
      <c r="L69" s="2" t="s">
        <v>82</v>
      </c>
      <c r="M69" s="2" t="s">
        <v>26</v>
      </c>
      <c r="N69" s="2" t="s">
        <v>26</v>
      </c>
      <c r="O69" s="2" t="s">
        <v>26</v>
      </c>
      <c r="P69" s="13"/>
      <c r="Q69" s="2" t="s">
        <v>264</v>
      </c>
      <c r="R69" s="2" t="s">
        <v>177</v>
      </c>
      <c r="S69" s="16" t="s">
        <v>610</v>
      </c>
      <c r="T69" s="2" t="s">
        <v>1263</v>
      </c>
      <c r="U69" s="10">
        <v>1</v>
      </c>
      <c r="V69" s="52">
        <v>0</v>
      </c>
      <c r="W69" s="24"/>
      <c r="X69" s="66">
        <f t="shared" si="3"/>
        <v>0</v>
      </c>
      <c r="Z69" s="84">
        <f t="shared" si="4"/>
        <v>75</v>
      </c>
    </row>
    <row r="70" spans="1:26" ht="49.5" customHeight="1">
      <c r="A70" s="2">
        <v>69</v>
      </c>
      <c r="B70" s="2" t="s">
        <v>18</v>
      </c>
      <c r="C70" s="2" t="s">
        <v>46</v>
      </c>
      <c r="D70" s="2">
        <v>16</v>
      </c>
      <c r="E70" s="2" t="s">
        <v>183</v>
      </c>
      <c r="F70" s="2">
        <v>149</v>
      </c>
      <c r="G70" s="2" t="s">
        <v>245</v>
      </c>
      <c r="H70" s="2" t="s">
        <v>266</v>
      </c>
      <c r="I70" s="2" t="s">
        <v>267</v>
      </c>
      <c r="J70" s="2">
        <v>2538</v>
      </c>
      <c r="K70" s="2" t="s">
        <v>24</v>
      </c>
      <c r="L70" s="2" t="s">
        <v>82</v>
      </c>
      <c r="M70" s="2" t="s">
        <v>26</v>
      </c>
      <c r="N70" s="2" t="s">
        <v>26</v>
      </c>
      <c r="O70" s="2" t="s">
        <v>26</v>
      </c>
      <c r="P70" s="13"/>
      <c r="Q70" s="2" t="s">
        <v>268</v>
      </c>
      <c r="R70" s="2" t="s">
        <v>177</v>
      </c>
      <c r="S70" s="16" t="s">
        <v>610</v>
      </c>
      <c r="T70" s="2" t="s">
        <v>1264</v>
      </c>
      <c r="U70" s="10">
        <v>1</v>
      </c>
      <c r="V70" s="52">
        <v>0</v>
      </c>
      <c r="W70" s="24"/>
      <c r="X70" s="66">
        <f t="shared" si="3"/>
        <v>0</v>
      </c>
      <c r="Z70" s="84">
        <f t="shared" si="4"/>
        <v>2538</v>
      </c>
    </row>
    <row r="71" spans="1:26" ht="49.5" customHeight="1">
      <c r="A71" s="2">
        <v>70</v>
      </c>
      <c r="B71" s="2" t="s">
        <v>18</v>
      </c>
      <c r="C71" s="2" t="s">
        <v>46</v>
      </c>
      <c r="D71" s="2">
        <v>16</v>
      </c>
      <c r="E71" s="2" t="s">
        <v>183</v>
      </c>
      <c r="F71" s="2">
        <v>149</v>
      </c>
      <c r="G71" s="2" t="s">
        <v>245</v>
      </c>
      <c r="H71" s="2" t="s">
        <v>266</v>
      </c>
      <c r="I71" s="2">
        <v>732</v>
      </c>
      <c r="J71" s="2">
        <v>107</v>
      </c>
      <c r="K71" s="2" t="s">
        <v>24</v>
      </c>
      <c r="L71" s="2" t="s">
        <v>82</v>
      </c>
      <c r="M71" s="2" t="s">
        <v>26</v>
      </c>
      <c r="N71" s="2" t="s">
        <v>26</v>
      </c>
      <c r="O71" s="2" t="s">
        <v>26</v>
      </c>
      <c r="P71" s="13"/>
      <c r="Q71" s="2" t="s">
        <v>268</v>
      </c>
      <c r="R71" s="2" t="s">
        <v>177</v>
      </c>
      <c r="S71" s="16" t="s">
        <v>610</v>
      </c>
      <c r="T71" s="2" t="s">
        <v>1264</v>
      </c>
      <c r="U71" s="10">
        <v>1</v>
      </c>
      <c r="V71" s="52">
        <v>0</v>
      </c>
      <c r="W71" s="24"/>
      <c r="X71" s="66">
        <f t="shared" si="3"/>
        <v>0</v>
      </c>
      <c r="Z71" s="84">
        <f t="shared" si="4"/>
        <v>107</v>
      </c>
    </row>
    <row r="72" spans="1:26" ht="49.5" customHeight="1">
      <c r="A72" s="2">
        <v>71</v>
      </c>
      <c r="B72" s="2" t="s">
        <v>18</v>
      </c>
      <c r="C72" s="2" t="s">
        <v>46</v>
      </c>
      <c r="D72" s="2">
        <v>16</v>
      </c>
      <c r="E72" s="2" t="s">
        <v>183</v>
      </c>
      <c r="F72" s="2">
        <v>4</v>
      </c>
      <c r="G72" s="2" t="s">
        <v>184</v>
      </c>
      <c r="H72" s="2" t="s">
        <v>269</v>
      </c>
      <c r="I72" s="2" t="s">
        <v>270</v>
      </c>
      <c r="J72" s="2">
        <v>805</v>
      </c>
      <c r="K72" s="2" t="s">
        <v>24</v>
      </c>
      <c r="L72" s="2" t="s">
        <v>82</v>
      </c>
      <c r="M72" s="2" t="s">
        <v>26</v>
      </c>
      <c r="N72" s="2" t="s">
        <v>26</v>
      </c>
      <c r="O72" s="2" t="s">
        <v>26</v>
      </c>
      <c r="P72" s="13"/>
      <c r="Q72" s="2" t="s">
        <v>271</v>
      </c>
      <c r="R72" s="2" t="s">
        <v>177</v>
      </c>
      <c r="S72" s="16" t="s">
        <v>610</v>
      </c>
      <c r="T72" s="2" t="s">
        <v>1265</v>
      </c>
      <c r="U72" s="10">
        <v>1</v>
      </c>
      <c r="V72" s="52">
        <v>0</v>
      </c>
      <c r="W72" s="24"/>
      <c r="X72" s="66">
        <f t="shared" si="3"/>
        <v>0</v>
      </c>
      <c r="Z72" s="84">
        <f t="shared" si="4"/>
        <v>805</v>
      </c>
    </row>
    <row r="73" spans="1:26" ht="49.5" customHeight="1">
      <c r="A73" s="2">
        <v>72</v>
      </c>
      <c r="B73" s="2" t="s">
        <v>18</v>
      </c>
      <c r="C73" s="2" t="s">
        <v>46</v>
      </c>
      <c r="D73" s="2">
        <v>16</v>
      </c>
      <c r="E73" s="2" t="s">
        <v>183</v>
      </c>
      <c r="F73" s="2">
        <v>4</v>
      </c>
      <c r="G73" s="2" t="s">
        <v>184</v>
      </c>
      <c r="H73" s="2" t="s">
        <v>269</v>
      </c>
      <c r="I73" s="2">
        <v>600</v>
      </c>
      <c r="J73" s="2">
        <v>157</v>
      </c>
      <c r="K73" s="2" t="s">
        <v>24</v>
      </c>
      <c r="L73" s="2" t="s">
        <v>82</v>
      </c>
      <c r="M73" s="2" t="s">
        <v>26</v>
      </c>
      <c r="N73" s="2" t="s">
        <v>26</v>
      </c>
      <c r="O73" s="2" t="s">
        <v>26</v>
      </c>
      <c r="P73" s="13"/>
      <c r="Q73" s="2" t="s">
        <v>271</v>
      </c>
      <c r="R73" s="2" t="s">
        <v>177</v>
      </c>
      <c r="S73" s="16" t="s">
        <v>610</v>
      </c>
      <c r="T73" s="2" t="s">
        <v>1265</v>
      </c>
      <c r="U73" s="10">
        <v>1</v>
      </c>
      <c r="V73" s="52">
        <v>0</v>
      </c>
      <c r="W73" s="24"/>
      <c r="X73" s="66">
        <f t="shared" si="3"/>
        <v>0</v>
      </c>
      <c r="Z73" s="84">
        <f t="shared" si="4"/>
        <v>157</v>
      </c>
    </row>
    <row r="74" spans="1:26" ht="49.5" customHeight="1">
      <c r="A74" s="2">
        <v>73</v>
      </c>
      <c r="B74" s="2" t="s">
        <v>18</v>
      </c>
      <c r="C74" s="2" t="s">
        <v>46</v>
      </c>
      <c r="D74" s="2">
        <v>16</v>
      </c>
      <c r="E74" s="2" t="s">
        <v>183</v>
      </c>
      <c r="F74" s="2">
        <v>144</v>
      </c>
      <c r="G74" s="2" t="s">
        <v>220</v>
      </c>
      <c r="H74" s="2" t="s">
        <v>272</v>
      </c>
      <c r="I74" s="2" t="s">
        <v>273</v>
      </c>
      <c r="J74" s="2">
        <v>1661</v>
      </c>
      <c r="K74" s="2" t="s">
        <v>24</v>
      </c>
      <c r="L74" s="2" t="s">
        <v>82</v>
      </c>
      <c r="M74" s="2" t="s">
        <v>26</v>
      </c>
      <c r="N74" s="2" t="s">
        <v>26</v>
      </c>
      <c r="O74" s="2" t="s">
        <v>26</v>
      </c>
      <c r="P74" s="13"/>
      <c r="Q74" s="2" t="s">
        <v>274</v>
      </c>
      <c r="R74" s="2" t="s">
        <v>177</v>
      </c>
      <c r="S74" s="16" t="s">
        <v>203</v>
      </c>
      <c r="T74" s="2" t="s">
        <v>1266</v>
      </c>
      <c r="U74" s="10">
        <v>1</v>
      </c>
      <c r="V74" s="52">
        <v>0</v>
      </c>
      <c r="W74" s="24"/>
      <c r="X74" s="66">
        <f t="shared" si="3"/>
        <v>0</v>
      </c>
      <c r="Z74" s="84">
        <f t="shared" si="4"/>
        <v>1661</v>
      </c>
    </row>
    <row r="75" spans="1:26" ht="49.5" customHeight="1">
      <c r="A75" s="2">
        <v>74</v>
      </c>
      <c r="B75" s="2" t="s">
        <v>18</v>
      </c>
      <c r="C75" s="2" t="s">
        <v>46</v>
      </c>
      <c r="D75" s="2">
        <v>16</v>
      </c>
      <c r="E75" s="2" t="s">
        <v>183</v>
      </c>
      <c r="F75" s="2">
        <v>144</v>
      </c>
      <c r="G75" s="2" t="s">
        <v>220</v>
      </c>
      <c r="H75" s="2" t="s">
        <v>272</v>
      </c>
      <c r="I75" s="2">
        <v>142</v>
      </c>
      <c r="J75" s="2">
        <v>56</v>
      </c>
      <c r="K75" s="2" t="s">
        <v>24</v>
      </c>
      <c r="L75" s="2" t="s">
        <v>82</v>
      </c>
      <c r="M75" s="2" t="s">
        <v>26</v>
      </c>
      <c r="N75" s="2" t="s">
        <v>26</v>
      </c>
      <c r="O75" s="2" t="s">
        <v>26</v>
      </c>
      <c r="P75" s="13"/>
      <c r="Q75" s="2" t="s">
        <v>274</v>
      </c>
      <c r="R75" s="2" t="s">
        <v>177</v>
      </c>
      <c r="S75" s="16" t="s">
        <v>203</v>
      </c>
      <c r="T75" s="2" t="s">
        <v>1266</v>
      </c>
      <c r="U75" s="10">
        <v>1</v>
      </c>
      <c r="V75" s="52">
        <v>0</v>
      </c>
      <c r="W75" s="24"/>
      <c r="X75" s="66">
        <f t="shared" si="3"/>
        <v>0</v>
      </c>
      <c r="Z75" s="84">
        <f t="shared" si="4"/>
        <v>56</v>
      </c>
    </row>
    <row r="76" spans="1:26" ht="49.5" customHeight="1">
      <c r="A76" s="2">
        <v>75</v>
      </c>
      <c r="B76" s="2" t="s">
        <v>18</v>
      </c>
      <c r="C76" s="2" t="s">
        <v>46</v>
      </c>
      <c r="D76" s="2">
        <v>16</v>
      </c>
      <c r="E76" s="2" t="s">
        <v>183</v>
      </c>
      <c r="F76" s="2">
        <v>141</v>
      </c>
      <c r="G76" s="2" t="s">
        <v>200</v>
      </c>
      <c r="H76" s="2" t="s">
        <v>275</v>
      </c>
      <c r="I76" s="2">
        <v>533</v>
      </c>
      <c r="J76" s="2">
        <v>110</v>
      </c>
      <c r="K76" s="2" t="s">
        <v>24</v>
      </c>
      <c r="L76" s="2" t="s">
        <v>82</v>
      </c>
      <c r="M76" s="2" t="s">
        <v>26</v>
      </c>
      <c r="N76" s="2" t="s">
        <v>26</v>
      </c>
      <c r="O76" s="2" t="s">
        <v>26</v>
      </c>
      <c r="P76" s="13"/>
      <c r="Q76" s="2" t="s">
        <v>276</v>
      </c>
      <c r="R76" s="2" t="s">
        <v>177</v>
      </c>
      <c r="S76" s="16" t="s">
        <v>610</v>
      </c>
      <c r="T76" s="2" t="s">
        <v>1267</v>
      </c>
      <c r="U76" s="10">
        <v>1</v>
      </c>
      <c r="V76" s="52">
        <v>0</v>
      </c>
      <c r="W76" s="24"/>
      <c r="X76" s="66">
        <f t="shared" si="3"/>
        <v>0</v>
      </c>
      <c r="Z76" s="84">
        <f t="shared" si="4"/>
        <v>110</v>
      </c>
    </row>
    <row r="77" spans="1:26" ht="49.5" customHeight="1">
      <c r="A77" s="2">
        <v>76</v>
      </c>
      <c r="B77" s="2" t="s">
        <v>18</v>
      </c>
      <c r="C77" s="2" t="s">
        <v>46</v>
      </c>
      <c r="D77" s="2">
        <v>16</v>
      </c>
      <c r="E77" s="2" t="s">
        <v>183</v>
      </c>
      <c r="F77" s="2">
        <v>141</v>
      </c>
      <c r="G77" s="2" t="s">
        <v>200</v>
      </c>
      <c r="H77" s="2" t="s">
        <v>275</v>
      </c>
      <c r="I77" s="2" t="s">
        <v>277</v>
      </c>
      <c r="J77" s="2">
        <v>1060</v>
      </c>
      <c r="K77" s="2" t="s">
        <v>24</v>
      </c>
      <c r="L77" s="2" t="s">
        <v>82</v>
      </c>
      <c r="M77" s="2" t="s">
        <v>26</v>
      </c>
      <c r="N77" s="2" t="s">
        <v>26</v>
      </c>
      <c r="O77" s="2" t="s">
        <v>26</v>
      </c>
      <c r="P77" s="13"/>
      <c r="Q77" s="2" t="s">
        <v>276</v>
      </c>
      <c r="R77" s="2" t="s">
        <v>177</v>
      </c>
      <c r="S77" s="16" t="s">
        <v>610</v>
      </c>
      <c r="T77" s="2" t="s">
        <v>1267</v>
      </c>
      <c r="U77" s="10">
        <v>1</v>
      </c>
      <c r="V77" s="52">
        <v>0</v>
      </c>
      <c r="W77" s="24"/>
      <c r="X77" s="66">
        <f t="shared" si="3"/>
        <v>0</v>
      </c>
      <c r="Z77" s="84">
        <f t="shared" si="4"/>
        <v>1060</v>
      </c>
    </row>
    <row r="78" spans="1:26" ht="49.5" customHeight="1">
      <c r="A78" s="2">
        <v>77</v>
      </c>
      <c r="B78" s="2" t="s">
        <v>18</v>
      </c>
      <c r="C78" s="2" t="s">
        <v>46</v>
      </c>
      <c r="D78" s="2">
        <v>16</v>
      </c>
      <c r="E78" s="2" t="s">
        <v>183</v>
      </c>
      <c r="F78" s="2">
        <v>149</v>
      </c>
      <c r="G78" s="2" t="s">
        <v>245</v>
      </c>
      <c r="H78" s="2" t="s">
        <v>262</v>
      </c>
      <c r="I78" s="2" t="s">
        <v>278</v>
      </c>
      <c r="J78" s="2">
        <v>982</v>
      </c>
      <c r="K78" s="2" t="s">
        <v>24</v>
      </c>
      <c r="L78" s="2" t="s">
        <v>82</v>
      </c>
      <c r="M78" s="2" t="s">
        <v>26</v>
      </c>
      <c r="N78" s="2" t="s">
        <v>26</v>
      </c>
      <c r="O78" s="2" t="s">
        <v>26</v>
      </c>
      <c r="P78" s="13"/>
      <c r="Q78" s="2" t="s">
        <v>264</v>
      </c>
      <c r="R78" s="2" t="s">
        <v>177</v>
      </c>
      <c r="S78" s="16" t="s">
        <v>610</v>
      </c>
      <c r="T78" s="2" t="s">
        <v>1263</v>
      </c>
      <c r="U78" s="10">
        <v>1</v>
      </c>
      <c r="V78" s="52">
        <v>0</v>
      </c>
      <c r="W78" s="24"/>
      <c r="X78" s="66">
        <f t="shared" si="3"/>
        <v>0</v>
      </c>
      <c r="Z78" s="84">
        <f t="shared" si="4"/>
        <v>982</v>
      </c>
    </row>
    <row r="79" spans="1:26" ht="49.5" customHeight="1">
      <c r="A79" s="2">
        <v>78</v>
      </c>
      <c r="B79" s="2" t="s">
        <v>18</v>
      </c>
      <c r="C79" s="2" t="s">
        <v>46</v>
      </c>
      <c r="D79" s="2">
        <v>16</v>
      </c>
      <c r="E79" s="2" t="s">
        <v>183</v>
      </c>
      <c r="F79" s="2">
        <v>149</v>
      </c>
      <c r="G79" s="2" t="s">
        <v>245</v>
      </c>
      <c r="H79" s="2" t="s">
        <v>1195</v>
      </c>
      <c r="I79" s="2" t="s">
        <v>1196</v>
      </c>
      <c r="J79" s="2">
        <v>830</v>
      </c>
      <c r="K79" s="2" t="s">
        <v>24</v>
      </c>
      <c r="L79" s="2" t="s">
        <v>82</v>
      </c>
      <c r="M79" s="2" t="s">
        <v>26</v>
      </c>
      <c r="N79" s="2" t="s">
        <v>26</v>
      </c>
      <c r="O79" s="2" t="s">
        <v>26</v>
      </c>
      <c r="P79" s="13"/>
      <c r="Q79" s="2" t="s">
        <v>1197</v>
      </c>
      <c r="R79" s="2" t="s">
        <v>177</v>
      </c>
      <c r="S79" s="72" t="s">
        <v>1261</v>
      </c>
      <c r="T79" s="2" t="s">
        <v>1268</v>
      </c>
      <c r="U79" s="10">
        <v>0.2</v>
      </c>
      <c r="V79" s="52">
        <v>0.8</v>
      </c>
      <c r="W79" s="24"/>
      <c r="X79" s="66">
        <f t="shared" si="3"/>
        <v>664</v>
      </c>
      <c r="Z79" s="84">
        <f t="shared" si="4"/>
        <v>166</v>
      </c>
    </row>
    <row r="80" spans="1:26" ht="49.5" customHeight="1">
      <c r="A80" s="2">
        <v>79</v>
      </c>
      <c r="B80" s="2" t="s">
        <v>18</v>
      </c>
      <c r="C80" s="2" t="s">
        <v>46</v>
      </c>
      <c r="D80" s="2">
        <v>16</v>
      </c>
      <c r="E80" s="2" t="s">
        <v>183</v>
      </c>
      <c r="F80" s="2">
        <v>149</v>
      </c>
      <c r="G80" s="2" t="s">
        <v>173</v>
      </c>
      <c r="H80" s="2" t="s">
        <v>1258</v>
      </c>
      <c r="I80" s="2" t="s">
        <v>1259</v>
      </c>
      <c r="J80" s="2">
        <v>1100</v>
      </c>
      <c r="K80" s="2" t="s">
        <v>24</v>
      </c>
      <c r="L80" s="2" t="s">
        <v>25</v>
      </c>
      <c r="M80" s="2" t="s">
        <v>26</v>
      </c>
      <c r="N80" s="2" t="s">
        <v>26</v>
      </c>
      <c r="O80" s="2" t="s">
        <v>26</v>
      </c>
      <c r="P80" s="13"/>
      <c r="Q80" s="2" t="s">
        <v>1260</v>
      </c>
      <c r="R80" s="2" t="s">
        <v>177</v>
      </c>
      <c r="S80" s="72" t="s">
        <v>1261</v>
      </c>
      <c r="T80" s="2" t="s">
        <v>1262</v>
      </c>
      <c r="U80" s="10">
        <v>1</v>
      </c>
      <c r="V80" s="52">
        <v>0</v>
      </c>
      <c r="W80" s="24"/>
      <c r="X80" s="66">
        <f t="shared" si="3"/>
        <v>0</v>
      </c>
      <c r="Z80" s="84">
        <f t="shared" si="4"/>
        <v>1100</v>
      </c>
    </row>
    <row r="81" spans="1:28" ht="49.5" customHeight="1" thickBot="1">
      <c r="A81" s="2">
        <v>80</v>
      </c>
      <c r="B81" s="2" t="s">
        <v>1310</v>
      </c>
      <c r="C81" s="2" t="s">
        <v>46</v>
      </c>
      <c r="D81" s="2">
        <v>16</v>
      </c>
      <c r="E81" s="2" t="s">
        <v>183</v>
      </c>
      <c r="F81" s="2">
        <v>144</v>
      </c>
      <c r="G81" s="2" t="s">
        <v>220</v>
      </c>
      <c r="H81" s="2" t="s">
        <v>279</v>
      </c>
      <c r="I81" s="2">
        <v>2524</v>
      </c>
      <c r="J81" s="2">
        <v>800</v>
      </c>
      <c r="K81" s="2" t="s">
        <v>89</v>
      </c>
      <c r="L81" s="2" t="s">
        <v>25</v>
      </c>
      <c r="M81" s="2" t="s">
        <v>26</v>
      </c>
      <c r="N81" s="2" t="s">
        <v>26</v>
      </c>
      <c r="O81" s="2" t="s">
        <v>26</v>
      </c>
      <c r="P81" s="13">
        <v>20</v>
      </c>
      <c r="Q81" s="2" t="s">
        <v>35</v>
      </c>
      <c r="R81" s="2" t="s">
        <v>280</v>
      </c>
      <c r="S81" s="23" t="s">
        <v>281</v>
      </c>
      <c r="T81" s="2" t="s">
        <v>282</v>
      </c>
      <c r="U81" s="10">
        <v>0</v>
      </c>
      <c r="V81" s="52">
        <v>1</v>
      </c>
      <c r="W81" s="24"/>
      <c r="X81" s="66">
        <f t="shared" si="3"/>
        <v>800</v>
      </c>
      <c r="Z81" s="84">
        <f t="shared" si="4"/>
        <v>0</v>
      </c>
    </row>
    <row r="82" spans="1:28" ht="49.5" customHeight="1" thickBot="1">
      <c r="A82" s="2">
        <v>81</v>
      </c>
      <c r="B82" s="53" t="s">
        <v>1310</v>
      </c>
      <c r="C82" s="53" t="s">
        <v>46</v>
      </c>
      <c r="D82" s="53">
        <v>16</v>
      </c>
      <c r="E82" s="53" t="s">
        <v>183</v>
      </c>
      <c r="F82" s="53">
        <v>145</v>
      </c>
      <c r="G82" s="53" t="s">
        <v>242</v>
      </c>
      <c r="H82" s="53" t="s">
        <v>283</v>
      </c>
      <c r="I82" s="53" t="s">
        <v>284</v>
      </c>
      <c r="J82" s="62">
        <v>1000</v>
      </c>
      <c r="K82" s="53" t="s">
        <v>24</v>
      </c>
      <c r="L82" s="53" t="s">
        <v>82</v>
      </c>
      <c r="M82" s="53" t="s">
        <v>26</v>
      </c>
      <c r="N82" s="53" t="s">
        <v>26</v>
      </c>
      <c r="O82" s="53" t="s">
        <v>26</v>
      </c>
      <c r="P82" s="86">
        <v>20</v>
      </c>
      <c r="Q82" s="53" t="s">
        <v>35</v>
      </c>
      <c r="R82" s="53" t="s">
        <v>285</v>
      </c>
      <c r="S82" s="53" t="s">
        <v>286</v>
      </c>
      <c r="T82" s="53" t="s">
        <v>287</v>
      </c>
      <c r="U82" s="63">
        <v>0</v>
      </c>
      <c r="V82" s="64">
        <v>1</v>
      </c>
      <c r="W82" s="65"/>
      <c r="X82" s="67">
        <f t="shared" si="3"/>
        <v>1000</v>
      </c>
      <c r="Z82" s="87">
        <f t="shared" si="4"/>
        <v>0</v>
      </c>
      <c r="AA82" s="70">
        <f>SUM(Z43:Z82)</f>
        <v>16750</v>
      </c>
      <c r="AB82" s="93">
        <f>SUM(J43:J82)</f>
        <v>52383</v>
      </c>
    </row>
    <row r="83" spans="1:28" ht="49.5" customHeight="1">
      <c r="A83" s="2">
        <v>82</v>
      </c>
      <c r="B83" s="55" t="s">
        <v>18</v>
      </c>
      <c r="C83" s="55" t="s">
        <v>50</v>
      </c>
      <c r="D83" s="55">
        <v>32</v>
      </c>
      <c r="E83" s="55" t="s">
        <v>288</v>
      </c>
      <c r="F83" s="55">
        <v>228</v>
      </c>
      <c r="G83" s="55" t="s">
        <v>289</v>
      </c>
      <c r="H83" s="55" t="s">
        <v>290</v>
      </c>
      <c r="I83" s="55" t="s">
        <v>291</v>
      </c>
      <c r="J83" s="55">
        <v>1740</v>
      </c>
      <c r="K83" s="55" t="s">
        <v>24</v>
      </c>
      <c r="L83" s="55" t="s">
        <v>82</v>
      </c>
      <c r="M83" s="55" t="s">
        <v>26</v>
      </c>
      <c r="N83" s="55" t="s">
        <v>26</v>
      </c>
      <c r="O83" s="55" t="s">
        <v>26</v>
      </c>
      <c r="P83" s="57"/>
      <c r="Q83" s="55" t="s">
        <v>292</v>
      </c>
      <c r="R83" s="55" t="s">
        <v>293</v>
      </c>
      <c r="S83" s="68"/>
      <c r="T83" s="55"/>
      <c r="U83" s="59">
        <v>1</v>
      </c>
      <c r="V83" s="60">
        <v>0</v>
      </c>
      <c r="W83" s="61"/>
      <c r="X83" s="82">
        <f t="shared" si="3"/>
        <v>0</v>
      </c>
      <c r="Z83" s="83">
        <f t="shared" si="4"/>
        <v>1740</v>
      </c>
    </row>
    <row r="84" spans="1:28" ht="49.5" customHeight="1">
      <c r="A84" s="2">
        <v>83</v>
      </c>
      <c r="B84" s="2" t="s">
        <v>18</v>
      </c>
      <c r="C84" s="2" t="s">
        <v>50</v>
      </c>
      <c r="D84" s="2">
        <v>32</v>
      </c>
      <c r="E84" s="2" t="s">
        <v>288</v>
      </c>
      <c r="F84" s="2">
        <v>233</v>
      </c>
      <c r="G84" s="2" t="s">
        <v>294</v>
      </c>
      <c r="H84" s="2" t="s">
        <v>295</v>
      </c>
      <c r="I84" s="96">
        <v>30</v>
      </c>
      <c r="J84" s="2">
        <v>800</v>
      </c>
      <c r="K84" s="2" t="s">
        <v>24</v>
      </c>
      <c r="L84" s="2" t="s">
        <v>82</v>
      </c>
      <c r="M84" s="2" t="s">
        <v>26</v>
      </c>
      <c r="N84" s="2" t="s">
        <v>26</v>
      </c>
      <c r="O84" s="2" t="s">
        <v>26</v>
      </c>
      <c r="P84" s="13"/>
      <c r="Q84" s="2" t="s">
        <v>296</v>
      </c>
      <c r="R84" s="2" t="s">
        <v>293</v>
      </c>
      <c r="S84" s="16"/>
      <c r="T84" s="2"/>
      <c r="U84" s="10">
        <v>1</v>
      </c>
      <c r="V84" s="52">
        <v>0</v>
      </c>
      <c r="W84" s="24"/>
      <c r="X84" s="66">
        <f t="shared" si="3"/>
        <v>0</v>
      </c>
      <c r="Z84" s="84">
        <f t="shared" si="4"/>
        <v>800</v>
      </c>
    </row>
    <row r="85" spans="1:28" ht="49.5" customHeight="1">
      <c r="A85" s="2">
        <v>84</v>
      </c>
      <c r="B85" s="2" t="s">
        <v>1310</v>
      </c>
      <c r="C85" s="2" t="s">
        <v>50</v>
      </c>
      <c r="D85" s="2">
        <v>32</v>
      </c>
      <c r="E85" s="2" t="s">
        <v>288</v>
      </c>
      <c r="F85" s="2">
        <v>226</v>
      </c>
      <c r="G85" s="2" t="s">
        <v>299</v>
      </c>
      <c r="H85" s="2" t="s">
        <v>300</v>
      </c>
      <c r="I85" s="88" t="s">
        <v>301</v>
      </c>
      <c r="J85" s="23">
        <v>600</v>
      </c>
      <c r="K85" s="2" t="s">
        <v>24</v>
      </c>
      <c r="L85" s="2" t="s">
        <v>25</v>
      </c>
      <c r="M85" s="2" t="s">
        <v>26</v>
      </c>
      <c r="N85" s="2" t="s">
        <v>26</v>
      </c>
      <c r="O85" s="2" t="s">
        <v>26</v>
      </c>
      <c r="P85" s="13">
        <v>20</v>
      </c>
      <c r="Q85" s="2" t="s">
        <v>35</v>
      </c>
      <c r="R85" s="2" t="s">
        <v>302</v>
      </c>
      <c r="S85" s="2" t="s">
        <v>303</v>
      </c>
      <c r="T85" s="2" t="s">
        <v>304</v>
      </c>
      <c r="U85" s="10">
        <v>0</v>
      </c>
      <c r="V85" s="52">
        <v>1</v>
      </c>
      <c r="W85" s="24"/>
      <c r="X85" s="66">
        <f t="shared" si="3"/>
        <v>600</v>
      </c>
      <c r="Z85" s="84">
        <f t="shared" si="4"/>
        <v>0</v>
      </c>
    </row>
    <row r="86" spans="1:28" ht="49.5" customHeight="1">
      <c r="A86" s="2">
        <v>85</v>
      </c>
      <c r="B86" s="2" t="s">
        <v>1310</v>
      </c>
      <c r="C86" s="2" t="s">
        <v>50</v>
      </c>
      <c r="D86" s="2">
        <v>32</v>
      </c>
      <c r="E86" s="2" t="s">
        <v>288</v>
      </c>
      <c r="F86" s="2">
        <v>226</v>
      </c>
      <c r="G86" s="2" t="s">
        <v>299</v>
      </c>
      <c r="H86" s="2" t="s">
        <v>305</v>
      </c>
      <c r="I86" s="88" t="s">
        <v>306</v>
      </c>
      <c r="J86" s="23">
        <v>600</v>
      </c>
      <c r="K86" s="2" t="s">
        <v>24</v>
      </c>
      <c r="L86" s="2" t="s">
        <v>25</v>
      </c>
      <c r="M86" s="2" t="s">
        <v>26</v>
      </c>
      <c r="N86" s="2" t="s">
        <v>26</v>
      </c>
      <c r="O86" s="2" t="s">
        <v>26</v>
      </c>
      <c r="P86" s="13">
        <v>20</v>
      </c>
      <c r="Q86" s="2" t="s">
        <v>35</v>
      </c>
      <c r="R86" s="2" t="s">
        <v>302</v>
      </c>
      <c r="S86" s="2" t="s">
        <v>307</v>
      </c>
      <c r="T86" s="2" t="s">
        <v>308</v>
      </c>
      <c r="U86" s="10">
        <v>0</v>
      </c>
      <c r="V86" s="52">
        <v>1</v>
      </c>
      <c r="W86" s="24"/>
      <c r="X86" s="66">
        <f t="shared" si="3"/>
        <v>600</v>
      </c>
      <c r="Z86" s="84">
        <f t="shared" si="4"/>
        <v>0</v>
      </c>
    </row>
    <row r="87" spans="1:28" ht="49.5" customHeight="1" thickBot="1">
      <c r="A87" s="2">
        <v>86</v>
      </c>
      <c r="B87" s="2" t="s">
        <v>1310</v>
      </c>
      <c r="C87" s="2" t="s">
        <v>50</v>
      </c>
      <c r="D87" s="2">
        <v>32</v>
      </c>
      <c r="E87" s="2" t="s">
        <v>288</v>
      </c>
      <c r="F87" s="2">
        <v>226</v>
      </c>
      <c r="G87" s="2" t="s">
        <v>299</v>
      </c>
      <c r="H87" s="2" t="s">
        <v>309</v>
      </c>
      <c r="I87" s="88" t="s">
        <v>310</v>
      </c>
      <c r="J87" s="23">
        <v>700</v>
      </c>
      <c r="K87" s="2" t="s">
        <v>24</v>
      </c>
      <c r="L87" s="2" t="s">
        <v>25</v>
      </c>
      <c r="M87" s="2" t="s">
        <v>26</v>
      </c>
      <c r="N87" s="2" t="s">
        <v>26</v>
      </c>
      <c r="O87" s="2" t="s">
        <v>26</v>
      </c>
      <c r="P87" s="13">
        <v>20</v>
      </c>
      <c r="Q87" s="2" t="s">
        <v>35</v>
      </c>
      <c r="R87" s="2" t="s">
        <v>302</v>
      </c>
      <c r="S87" s="2" t="s">
        <v>311</v>
      </c>
      <c r="T87" s="2" t="s">
        <v>312</v>
      </c>
      <c r="U87" s="10">
        <v>0</v>
      </c>
      <c r="V87" s="52">
        <v>1</v>
      </c>
      <c r="W87" s="24"/>
      <c r="X87" s="66">
        <f t="shared" si="3"/>
        <v>700</v>
      </c>
      <c r="Z87" s="84">
        <f t="shared" si="4"/>
        <v>0</v>
      </c>
    </row>
    <row r="88" spans="1:28" ht="49.5" customHeight="1" thickBot="1">
      <c r="A88" s="2">
        <v>87</v>
      </c>
      <c r="B88" s="53" t="s">
        <v>1310</v>
      </c>
      <c r="C88" s="53" t="s">
        <v>50</v>
      </c>
      <c r="D88" s="53">
        <v>32</v>
      </c>
      <c r="E88" s="53" t="s">
        <v>288</v>
      </c>
      <c r="F88" s="53">
        <v>226</v>
      </c>
      <c r="G88" s="53" t="s">
        <v>299</v>
      </c>
      <c r="H88" s="53" t="s">
        <v>313</v>
      </c>
      <c r="I88" s="89" t="s">
        <v>314</v>
      </c>
      <c r="J88" s="90">
        <v>1000</v>
      </c>
      <c r="K88" s="53" t="s">
        <v>24</v>
      </c>
      <c r="L88" s="53" t="s">
        <v>25</v>
      </c>
      <c r="M88" s="53" t="s">
        <v>26</v>
      </c>
      <c r="N88" s="53" t="s">
        <v>26</v>
      </c>
      <c r="O88" s="53" t="s">
        <v>26</v>
      </c>
      <c r="P88" s="86">
        <v>20</v>
      </c>
      <c r="Q88" s="53" t="s">
        <v>35</v>
      </c>
      <c r="R88" s="53" t="s">
        <v>302</v>
      </c>
      <c r="S88" s="53" t="s">
        <v>315</v>
      </c>
      <c r="T88" s="53" t="s">
        <v>316</v>
      </c>
      <c r="U88" s="63">
        <v>0</v>
      </c>
      <c r="V88" s="64">
        <v>1</v>
      </c>
      <c r="W88" s="65"/>
      <c r="X88" s="67">
        <f t="shared" si="3"/>
        <v>1000</v>
      </c>
      <c r="Z88" s="87">
        <f t="shared" si="4"/>
        <v>0</v>
      </c>
      <c r="AA88" s="70">
        <f>SUM(Z83:Z88)</f>
        <v>2540</v>
      </c>
      <c r="AB88" s="93">
        <f>SUM(J83:J88)</f>
        <v>5440</v>
      </c>
    </row>
    <row r="89" spans="1:28" ht="49.5" customHeight="1">
      <c r="A89" s="2">
        <v>88</v>
      </c>
      <c r="B89" s="55" t="s">
        <v>18</v>
      </c>
      <c r="C89" s="55" t="s">
        <v>317</v>
      </c>
      <c r="D89" s="55">
        <v>36</v>
      </c>
      <c r="E89" s="55" t="s">
        <v>318</v>
      </c>
      <c r="F89" s="55">
        <v>247</v>
      </c>
      <c r="G89" s="55" t="s">
        <v>319</v>
      </c>
      <c r="H89" s="55" t="s">
        <v>320</v>
      </c>
      <c r="I89" s="55" t="s">
        <v>321</v>
      </c>
      <c r="J89" s="55">
        <v>400</v>
      </c>
      <c r="K89" s="55" t="s">
        <v>24</v>
      </c>
      <c r="L89" s="55" t="s">
        <v>82</v>
      </c>
      <c r="M89" s="55" t="s">
        <v>26</v>
      </c>
      <c r="N89" s="55" t="s">
        <v>26</v>
      </c>
      <c r="O89" s="55" t="s">
        <v>26</v>
      </c>
      <c r="P89" s="57"/>
      <c r="Q89" s="55" t="s">
        <v>322</v>
      </c>
      <c r="R89" s="55" t="s">
        <v>293</v>
      </c>
      <c r="S89" s="68"/>
      <c r="T89" s="55"/>
      <c r="U89" s="59">
        <v>1</v>
      </c>
      <c r="V89" s="60">
        <v>0</v>
      </c>
      <c r="W89" s="61"/>
      <c r="X89" s="82">
        <f t="shared" si="3"/>
        <v>0</v>
      </c>
      <c r="Z89" s="83">
        <f t="shared" si="4"/>
        <v>400</v>
      </c>
    </row>
    <row r="90" spans="1:28" ht="49.5" customHeight="1">
      <c r="A90" s="2">
        <v>89</v>
      </c>
      <c r="B90" s="2" t="s">
        <v>18</v>
      </c>
      <c r="C90" s="2" t="s">
        <v>317</v>
      </c>
      <c r="D90" s="2">
        <v>19</v>
      </c>
      <c r="E90" s="2" t="s">
        <v>323</v>
      </c>
      <c r="F90" s="2">
        <v>165</v>
      </c>
      <c r="G90" s="2" t="s">
        <v>324</v>
      </c>
      <c r="H90" s="2" t="s">
        <v>325</v>
      </c>
      <c r="I90" s="2" t="s">
        <v>326</v>
      </c>
      <c r="J90" s="2">
        <v>2000</v>
      </c>
      <c r="K90" s="2" t="s">
        <v>24</v>
      </c>
      <c r="L90" s="2" t="s">
        <v>25</v>
      </c>
      <c r="M90" s="2" t="s">
        <v>26</v>
      </c>
      <c r="N90" s="2" t="s">
        <v>26</v>
      </c>
      <c r="O90" s="2" t="s">
        <v>26</v>
      </c>
      <c r="P90" s="13">
        <v>100</v>
      </c>
      <c r="Q90" s="2" t="s">
        <v>327</v>
      </c>
      <c r="R90" s="2" t="s">
        <v>293</v>
      </c>
      <c r="S90" s="2" t="s">
        <v>328</v>
      </c>
      <c r="T90" s="2" t="s">
        <v>325</v>
      </c>
      <c r="U90" s="10">
        <v>0.2</v>
      </c>
      <c r="V90" s="52">
        <v>0.8</v>
      </c>
      <c r="W90" s="24"/>
      <c r="X90" s="66">
        <f t="shared" si="3"/>
        <v>1600</v>
      </c>
      <c r="Z90" s="84">
        <f t="shared" si="4"/>
        <v>400</v>
      </c>
    </row>
    <row r="91" spans="1:28" ht="49.5" customHeight="1">
      <c r="A91" s="2">
        <v>90</v>
      </c>
      <c r="B91" s="2" t="s">
        <v>18</v>
      </c>
      <c r="C91" s="2" t="s">
        <v>317</v>
      </c>
      <c r="D91" s="2">
        <v>36</v>
      </c>
      <c r="E91" s="2" t="s">
        <v>318</v>
      </c>
      <c r="F91" s="2">
        <v>170</v>
      </c>
      <c r="G91" s="2" t="s">
        <v>329</v>
      </c>
      <c r="H91" s="2" t="s">
        <v>330</v>
      </c>
      <c r="I91" s="2" t="s">
        <v>331</v>
      </c>
      <c r="J91" s="2">
        <v>500</v>
      </c>
      <c r="K91" s="2" t="s">
        <v>24</v>
      </c>
      <c r="L91" s="2" t="s">
        <v>176</v>
      </c>
      <c r="M91" s="2" t="s">
        <v>26</v>
      </c>
      <c r="N91" s="2" t="s">
        <v>26</v>
      </c>
      <c r="O91" s="2" t="s">
        <v>26</v>
      </c>
      <c r="P91" s="13">
        <v>100</v>
      </c>
      <c r="Q91" s="2" t="s">
        <v>35</v>
      </c>
      <c r="R91" s="2" t="s">
        <v>293</v>
      </c>
      <c r="S91" s="2" t="s">
        <v>332</v>
      </c>
      <c r="T91" s="2" t="s">
        <v>333</v>
      </c>
      <c r="U91" s="10">
        <v>1</v>
      </c>
      <c r="V91" s="52">
        <v>0</v>
      </c>
      <c r="W91" s="24"/>
      <c r="X91" s="66">
        <f t="shared" si="3"/>
        <v>0</v>
      </c>
      <c r="Z91" s="84">
        <f t="shared" si="4"/>
        <v>500</v>
      </c>
    </row>
    <row r="92" spans="1:28" ht="49.5" customHeight="1">
      <c r="A92" s="2">
        <v>91</v>
      </c>
      <c r="B92" s="2" t="s">
        <v>18</v>
      </c>
      <c r="C92" s="2" t="s">
        <v>317</v>
      </c>
      <c r="D92" s="2">
        <v>36</v>
      </c>
      <c r="E92" s="2" t="s">
        <v>318</v>
      </c>
      <c r="F92" s="2">
        <v>170</v>
      </c>
      <c r="G92" s="2" t="s">
        <v>329</v>
      </c>
      <c r="H92" s="2" t="s">
        <v>334</v>
      </c>
      <c r="I92" s="2" t="s">
        <v>335</v>
      </c>
      <c r="J92" s="2">
        <v>200</v>
      </c>
      <c r="K92" s="2" t="s">
        <v>24</v>
      </c>
      <c r="L92" s="2" t="s">
        <v>176</v>
      </c>
      <c r="M92" s="2" t="s">
        <v>26</v>
      </c>
      <c r="N92" s="2" t="s">
        <v>26</v>
      </c>
      <c r="O92" s="2" t="s">
        <v>26</v>
      </c>
      <c r="P92" s="13">
        <v>80</v>
      </c>
      <c r="Q92" s="2" t="s">
        <v>35</v>
      </c>
      <c r="R92" s="2" t="s">
        <v>293</v>
      </c>
      <c r="S92" s="2" t="s">
        <v>336</v>
      </c>
      <c r="T92" s="2" t="s">
        <v>334</v>
      </c>
      <c r="U92" s="10">
        <v>1</v>
      </c>
      <c r="V92" s="52">
        <v>0</v>
      </c>
      <c r="W92" s="24"/>
      <c r="X92" s="66">
        <f t="shared" si="3"/>
        <v>0</v>
      </c>
      <c r="Z92" s="84">
        <f t="shared" si="4"/>
        <v>200</v>
      </c>
    </row>
    <row r="93" spans="1:28" ht="49.5" customHeight="1">
      <c r="A93" s="2">
        <v>92</v>
      </c>
      <c r="B93" s="2" t="s">
        <v>18</v>
      </c>
      <c r="C93" s="2" t="s">
        <v>317</v>
      </c>
      <c r="D93" s="2">
        <v>36</v>
      </c>
      <c r="E93" s="2" t="s">
        <v>318</v>
      </c>
      <c r="F93" s="2">
        <v>170</v>
      </c>
      <c r="G93" s="2" t="s">
        <v>329</v>
      </c>
      <c r="H93" s="2" t="s">
        <v>337</v>
      </c>
      <c r="I93" s="2" t="s">
        <v>338</v>
      </c>
      <c r="J93" s="2">
        <v>1000</v>
      </c>
      <c r="K93" s="2" t="s">
        <v>24</v>
      </c>
      <c r="L93" s="2" t="s">
        <v>25</v>
      </c>
      <c r="M93" s="2" t="s">
        <v>26</v>
      </c>
      <c r="N93" s="2" t="s">
        <v>26</v>
      </c>
      <c r="O93" s="2" t="s">
        <v>26</v>
      </c>
      <c r="P93" s="13">
        <v>100</v>
      </c>
      <c r="Q93" s="2" t="s">
        <v>35</v>
      </c>
      <c r="R93" s="2" t="s">
        <v>293</v>
      </c>
      <c r="S93" s="2" t="s">
        <v>332</v>
      </c>
      <c r="T93" s="2" t="s">
        <v>337</v>
      </c>
      <c r="U93" s="10">
        <v>1</v>
      </c>
      <c r="V93" s="52">
        <v>0</v>
      </c>
      <c r="W93" s="24"/>
      <c r="X93" s="66">
        <f t="shared" si="3"/>
        <v>0</v>
      </c>
      <c r="Z93" s="84">
        <f t="shared" si="4"/>
        <v>1000</v>
      </c>
    </row>
    <row r="94" spans="1:28" ht="49.5" customHeight="1">
      <c r="A94" s="2">
        <v>93</v>
      </c>
      <c r="B94" s="2" t="s">
        <v>18</v>
      </c>
      <c r="C94" s="2" t="s">
        <v>317</v>
      </c>
      <c r="D94" s="2">
        <v>36</v>
      </c>
      <c r="E94" s="2" t="s">
        <v>318</v>
      </c>
      <c r="F94" s="2">
        <v>172</v>
      </c>
      <c r="G94" s="2" t="s">
        <v>339</v>
      </c>
      <c r="H94" s="2" t="s">
        <v>340</v>
      </c>
      <c r="I94" s="2" t="s">
        <v>341</v>
      </c>
      <c r="J94" s="2">
        <v>1500</v>
      </c>
      <c r="K94" s="2" t="s">
        <v>24</v>
      </c>
      <c r="L94" s="2" t="s">
        <v>176</v>
      </c>
      <c r="M94" s="2" t="s">
        <v>26</v>
      </c>
      <c r="N94" s="2" t="s">
        <v>26</v>
      </c>
      <c r="O94" s="2" t="s">
        <v>26</v>
      </c>
      <c r="P94" s="13">
        <v>80</v>
      </c>
      <c r="Q94" s="2" t="s">
        <v>35</v>
      </c>
      <c r="R94" s="2" t="s">
        <v>293</v>
      </c>
      <c r="S94" s="2" t="s">
        <v>342</v>
      </c>
      <c r="T94" s="2" t="s">
        <v>343</v>
      </c>
      <c r="U94" s="10">
        <v>0.75</v>
      </c>
      <c r="V94" s="52">
        <v>0.25</v>
      </c>
      <c r="W94" s="24"/>
      <c r="X94" s="66">
        <f t="shared" si="3"/>
        <v>375</v>
      </c>
      <c r="Z94" s="84">
        <f t="shared" si="4"/>
        <v>1125</v>
      </c>
    </row>
    <row r="95" spans="1:28" ht="49.5" customHeight="1">
      <c r="A95" s="2">
        <v>94</v>
      </c>
      <c r="B95" s="2" t="s">
        <v>18</v>
      </c>
      <c r="C95" s="2" t="s">
        <v>317</v>
      </c>
      <c r="D95" s="2">
        <v>36</v>
      </c>
      <c r="E95" s="2" t="s">
        <v>318</v>
      </c>
      <c r="F95" s="2">
        <v>172</v>
      </c>
      <c r="G95" s="2" t="s">
        <v>339</v>
      </c>
      <c r="H95" s="2" t="s">
        <v>344</v>
      </c>
      <c r="I95" s="2">
        <v>474</v>
      </c>
      <c r="J95" s="2">
        <v>300</v>
      </c>
      <c r="K95" s="2" t="s">
        <v>24</v>
      </c>
      <c r="L95" s="2" t="s">
        <v>176</v>
      </c>
      <c r="M95" s="2" t="s">
        <v>26</v>
      </c>
      <c r="N95" s="2" t="s">
        <v>26</v>
      </c>
      <c r="O95" s="2" t="s">
        <v>26</v>
      </c>
      <c r="P95" s="13">
        <v>80</v>
      </c>
      <c r="Q95" s="2" t="s">
        <v>35</v>
      </c>
      <c r="R95" s="2" t="s">
        <v>293</v>
      </c>
      <c r="S95" s="2" t="s">
        <v>342</v>
      </c>
      <c r="T95" s="2" t="s">
        <v>344</v>
      </c>
      <c r="U95" s="10">
        <v>0.75</v>
      </c>
      <c r="V95" s="52">
        <v>0.25</v>
      </c>
      <c r="W95" s="24"/>
      <c r="X95" s="66">
        <f t="shared" si="3"/>
        <v>75</v>
      </c>
      <c r="Z95" s="84">
        <f t="shared" si="4"/>
        <v>225</v>
      </c>
    </row>
    <row r="96" spans="1:28" ht="49.5" customHeight="1">
      <c r="A96" s="2">
        <v>95</v>
      </c>
      <c r="B96" s="2" t="s">
        <v>18</v>
      </c>
      <c r="C96" s="2" t="s">
        <v>317</v>
      </c>
      <c r="D96" s="2">
        <v>36</v>
      </c>
      <c r="E96" s="2" t="s">
        <v>318</v>
      </c>
      <c r="F96" s="2">
        <v>172</v>
      </c>
      <c r="G96" s="2" t="s">
        <v>339</v>
      </c>
      <c r="H96" s="2" t="s">
        <v>1198</v>
      </c>
      <c r="I96" s="2" t="s">
        <v>1199</v>
      </c>
      <c r="J96" s="2">
        <v>2248</v>
      </c>
      <c r="K96" s="2" t="s">
        <v>24</v>
      </c>
      <c r="L96" s="2" t="s">
        <v>176</v>
      </c>
      <c r="M96" s="2" t="s">
        <v>26</v>
      </c>
      <c r="N96" s="2" t="s">
        <v>26</v>
      </c>
      <c r="O96" s="2" t="s">
        <v>26</v>
      </c>
      <c r="P96" s="13">
        <v>80</v>
      </c>
      <c r="Q96" s="2" t="s">
        <v>35</v>
      </c>
      <c r="R96" s="2" t="s">
        <v>293</v>
      </c>
      <c r="S96" s="2" t="s">
        <v>342</v>
      </c>
      <c r="T96" s="2"/>
      <c r="U96" s="10">
        <v>1</v>
      </c>
      <c r="V96" s="52">
        <v>0</v>
      </c>
      <c r="W96" s="24"/>
      <c r="X96" s="66">
        <f t="shared" si="3"/>
        <v>0</v>
      </c>
      <c r="Z96" s="84">
        <f t="shared" si="4"/>
        <v>2248</v>
      </c>
    </row>
    <row r="97" spans="1:26" ht="49.5" customHeight="1">
      <c r="A97" s="2">
        <v>96</v>
      </c>
      <c r="B97" s="2" t="s">
        <v>18</v>
      </c>
      <c r="C97" s="2" t="s">
        <v>317</v>
      </c>
      <c r="D97" s="2">
        <v>36</v>
      </c>
      <c r="E97" s="2" t="s">
        <v>318</v>
      </c>
      <c r="F97" s="2">
        <v>172</v>
      </c>
      <c r="G97" s="2" t="s">
        <v>339</v>
      </c>
      <c r="H97" s="2" t="s">
        <v>345</v>
      </c>
      <c r="I97" s="2" t="s">
        <v>346</v>
      </c>
      <c r="J97" s="2">
        <v>2500</v>
      </c>
      <c r="K97" s="2" t="s">
        <v>24</v>
      </c>
      <c r="L97" s="2" t="s">
        <v>176</v>
      </c>
      <c r="M97" s="2" t="s">
        <v>26</v>
      </c>
      <c r="N97" s="2" t="s">
        <v>26</v>
      </c>
      <c r="O97" s="2" t="s">
        <v>26</v>
      </c>
      <c r="P97" s="13">
        <v>80</v>
      </c>
      <c r="Q97" s="2" t="s">
        <v>35</v>
      </c>
      <c r="R97" s="2" t="s">
        <v>293</v>
      </c>
      <c r="S97" s="2" t="s">
        <v>342</v>
      </c>
      <c r="T97" s="2" t="s">
        <v>345</v>
      </c>
      <c r="U97" s="10">
        <v>0.5</v>
      </c>
      <c r="V97" s="52">
        <v>0.5</v>
      </c>
      <c r="W97" s="24"/>
      <c r="X97" s="66">
        <f t="shared" si="3"/>
        <v>1250</v>
      </c>
      <c r="Z97" s="84">
        <f t="shared" si="4"/>
        <v>1250</v>
      </c>
    </row>
    <row r="98" spans="1:26" ht="49.5" customHeight="1">
      <c r="A98" s="2">
        <v>97</v>
      </c>
      <c r="B98" s="2" t="s">
        <v>347</v>
      </c>
      <c r="C98" s="2" t="s">
        <v>317</v>
      </c>
      <c r="D98" s="2">
        <v>19</v>
      </c>
      <c r="E98" s="2" t="s">
        <v>323</v>
      </c>
      <c r="F98" s="2">
        <v>165</v>
      </c>
      <c r="G98" s="2" t="s">
        <v>324</v>
      </c>
      <c r="H98" s="2" t="s">
        <v>348</v>
      </c>
      <c r="I98" s="2" t="s">
        <v>349</v>
      </c>
      <c r="J98" s="2">
        <v>5000</v>
      </c>
      <c r="K98" s="2" t="s">
        <v>24</v>
      </c>
      <c r="L98" s="2" t="s">
        <v>25</v>
      </c>
      <c r="M98" s="2" t="s">
        <v>215</v>
      </c>
      <c r="N98" s="2" t="s">
        <v>215</v>
      </c>
      <c r="O98" s="2" t="s">
        <v>215</v>
      </c>
      <c r="P98" s="13">
        <v>60</v>
      </c>
      <c r="Q98" s="2" t="s">
        <v>35</v>
      </c>
      <c r="R98" s="2" t="s">
        <v>350</v>
      </c>
      <c r="S98" s="18" t="s">
        <v>351</v>
      </c>
      <c r="T98" s="2" t="s">
        <v>1252</v>
      </c>
      <c r="U98" s="10">
        <v>0</v>
      </c>
      <c r="V98" s="52">
        <v>1</v>
      </c>
      <c r="W98" s="24"/>
      <c r="X98" s="66">
        <f t="shared" ref="X98:X108" si="5">V98*J98</f>
        <v>5000</v>
      </c>
      <c r="Z98" s="84">
        <f t="shared" si="4"/>
        <v>0</v>
      </c>
    </row>
    <row r="99" spans="1:26" ht="49.5" customHeight="1">
      <c r="A99" s="2">
        <v>98</v>
      </c>
      <c r="B99" s="2" t="s">
        <v>347</v>
      </c>
      <c r="C99" s="2" t="s">
        <v>317</v>
      </c>
      <c r="D99" s="2">
        <v>19</v>
      </c>
      <c r="E99" s="2" t="s">
        <v>323</v>
      </c>
      <c r="F99" s="2">
        <v>165</v>
      </c>
      <c r="G99" s="2" t="s">
        <v>324</v>
      </c>
      <c r="H99" s="2" t="s">
        <v>348</v>
      </c>
      <c r="I99" s="2" t="s">
        <v>349</v>
      </c>
      <c r="J99" s="2">
        <v>10000</v>
      </c>
      <c r="K99" s="2" t="s">
        <v>24</v>
      </c>
      <c r="L99" s="2" t="s">
        <v>176</v>
      </c>
      <c r="M99" s="2" t="s">
        <v>26</v>
      </c>
      <c r="N99" s="2" t="s">
        <v>215</v>
      </c>
      <c r="O99" s="2" t="s">
        <v>215</v>
      </c>
      <c r="P99" s="13">
        <v>60</v>
      </c>
      <c r="Q99" s="2" t="s">
        <v>35</v>
      </c>
      <c r="R99" s="2" t="s">
        <v>350</v>
      </c>
      <c r="S99" s="18" t="s">
        <v>351</v>
      </c>
      <c r="T99" s="2" t="s">
        <v>1252</v>
      </c>
      <c r="U99" s="10">
        <v>0</v>
      </c>
      <c r="V99" s="52">
        <v>1</v>
      </c>
      <c r="W99" s="24"/>
      <c r="X99" s="66">
        <f t="shared" si="5"/>
        <v>10000</v>
      </c>
      <c r="Z99" s="84">
        <f t="shared" si="4"/>
        <v>0</v>
      </c>
    </row>
    <row r="100" spans="1:26" ht="49.5" customHeight="1">
      <c r="A100" s="2">
        <v>99</v>
      </c>
      <c r="B100" s="2" t="s">
        <v>1310</v>
      </c>
      <c r="C100" s="2" t="s">
        <v>317</v>
      </c>
      <c r="D100" s="2">
        <v>19</v>
      </c>
      <c r="E100" s="2" t="s">
        <v>323</v>
      </c>
      <c r="F100" s="2">
        <v>164</v>
      </c>
      <c r="G100" s="2" t="s">
        <v>352</v>
      </c>
      <c r="H100" s="2" t="s">
        <v>353</v>
      </c>
      <c r="I100" s="2" t="s">
        <v>354</v>
      </c>
      <c r="J100" s="23">
        <v>1000</v>
      </c>
      <c r="K100" s="2" t="s">
        <v>24</v>
      </c>
      <c r="L100" s="2" t="s">
        <v>25</v>
      </c>
      <c r="M100" s="2" t="s">
        <v>215</v>
      </c>
      <c r="N100" s="2" t="s">
        <v>26</v>
      </c>
      <c r="O100" s="2" t="s">
        <v>26</v>
      </c>
      <c r="P100" s="13">
        <v>20</v>
      </c>
      <c r="Q100" s="2" t="s">
        <v>35</v>
      </c>
      <c r="R100" s="2" t="s">
        <v>355</v>
      </c>
      <c r="S100" s="2" t="s">
        <v>356</v>
      </c>
      <c r="T100" s="2" t="s">
        <v>357</v>
      </c>
      <c r="U100" s="10">
        <v>1</v>
      </c>
      <c r="V100" s="52">
        <v>0</v>
      </c>
      <c r="W100" s="24"/>
      <c r="X100" s="66">
        <f t="shared" si="5"/>
        <v>0</v>
      </c>
      <c r="Z100" s="84">
        <f t="shared" si="4"/>
        <v>1000</v>
      </c>
    </row>
    <row r="101" spans="1:26" ht="49.5" customHeight="1">
      <c r="A101" s="2">
        <v>100</v>
      </c>
      <c r="B101" s="2" t="s">
        <v>1310</v>
      </c>
      <c r="C101" s="2" t="s">
        <v>317</v>
      </c>
      <c r="D101" s="2">
        <v>19</v>
      </c>
      <c r="E101" s="2" t="s">
        <v>323</v>
      </c>
      <c r="F101" s="2">
        <v>165</v>
      </c>
      <c r="G101" s="2" t="s">
        <v>324</v>
      </c>
      <c r="H101" s="2" t="s">
        <v>358</v>
      </c>
      <c r="I101" s="2">
        <v>2979</v>
      </c>
      <c r="J101" s="23">
        <v>300</v>
      </c>
      <c r="K101" s="2" t="s">
        <v>24</v>
      </c>
      <c r="L101" s="2" t="s">
        <v>82</v>
      </c>
      <c r="M101" s="2" t="s">
        <v>26</v>
      </c>
      <c r="N101" s="2" t="s">
        <v>26</v>
      </c>
      <c r="O101" s="2" t="s">
        <v>26</v>
      </c>
      <c r="P101" s="13">
        <v>20</v>
      </c>
      <c r="Q101" s="2" t="s">
        <v>35</v>
      </c>
      <c r="R101" s="2" t="s">
        <v>359</v>
      </c>
      <c r="S101" s="2" t="s">
        <v>360</v>
      </c>
      <c r="T101" s="2" t="s">
        <v>361</v>
      </c>
      <c r="U101" s="10">
        <v>1</v>
      </c>
      <c r="V101" s="52">
        <v>0</v>
      </c>
      <c r="W101" s="24"/>
      <c r="X101" s="66">
        <f t="shared" si="5"/>
        <v>0</v>
      </c>
      <c r="Z101" s="84">
        <f t="shared" si="4"/>
        <v>300</v>
      </c>
    </row>
    <row r="102" spans="1:26" ht="49.5" customHeight="1">
      <c r="A102" s="2">
        <v>101</v>
      </c>
      <c r="B102" s="2" t="s">
        <v>1310</v>
      </c>
      <c r="C102" s="2" t="s">
        <v>317</v>
      </c>
      <c r="D102" s="2">
        <v>19</v>
      </c>
      <c r="E102" s="2" t="s">
        <v>323</v>
      </c>
      <c r="F102" s="2">
        <v>165</v>
      </c>
      <c r="G102" s="2" t="s">
        <v>324</v>
      </c>
      <c r="H102" s="2" t="s">
        <v>362</v>
      </c>
      <c r="I102" s="2" t="s">
        <v>363</v>
      </c>
      <c r="J102" s="23">
        <v>700</v>
      </c>
      <c r="K102" s="2" t="s">
        <v>24</v>
      </c>
      <c r="L102" s="2" t="s">
        <v>176</v>
      </c>
      <c r="M102" s="2" t="s">
        <v>215</v>
      </c>
      <c r="N102" s="2" t="s">
        <v>26</v>
      </c>
      <c r="O102" s="2" t="s">
        <v>26</v>
      </c>
      <c r="P102" s="13">
        <v>20</v>
      </c>
      <c r="Q102" s="2" t="s">
        <v>35</v>
      </c>
      <c r="R102" s="2" t="s">
        <v>364</v>
      </c>
      <c r="S102" s="2" t="s">
        <v>365</v>
      </c>
      <c r="T102" s="2" t="s">
        <v>366</v>
      </c>
      <c r="U102" s="10">
        <v>1</v>
      </c>
      <c r="V102" s="52">
        <v>0</v>
      </c>
      <c r="W102" s="24"/>
      <c r="X102" s="66">
        <f t="shared" si="5"/>
        <v>0</v>
      </c>
      <c r="Z102" s="84">
        <f t="shared" si="4"/>
        <v>700</v>
      </c>
    </row>
    <row r="103" spans="1:26" ht="49.5" customHeight="1">
      <c r="A103" s="2">
        <v>102</v>
      </c>
      <c r="B103" s="2" t="s">
        <v>1310</v>
      </c>
      <c r="C103" s="2" t="s">
        <v>317</v>
      </c>
      <c r="D103" s="2">
        <v>21</v>
      </c>
      <c r="E103" s="2" t="s">
        <v>31</v>
      </c>
      <c r="F103" s="2">
        <v>174</v>
      </c>
      <c r="G103" s="2" t="s">
        <v>367</v>
      </c>
      <c r="H103" s="2" t="s">
        <v>368</v>
      </c>
      <c r="I103" s="2">
        <v>2344</v>
      </c>
      <c r="J103" s="23">
        <v>900</v>
      </c>
      <c r="K103" s="2" t="s">
        <v>24</v>
      </c>
      <c r="L103" s="2" t="s">
        <v>25</v>
      </c>
      <c r="M103" s="2" t="s">
        <v>26</v>
      </c>
      <c r="N103" s="2" t="s">
        <v>26</v>
      </c>
      <c r="O103" s="2" t="s">
        <v>26</v>
      </c>
      <c r="P103" s="13">
        <v>20</v>
      </c>
      <c r="Q103" s="2" t="s">
        <v>35</v>
      </c>
      <c r="R103" s="2" t="s">
        <v>369</v>
      </c>
      <c r="S103" s="2" t="s">
        <v>370</v>
      </c>
      <c r="T103" s="2" t="s">
        <v>371</v>
      </c>
      <c r="U103" s="10">
        <v>0</v>
      </c>
      <c r="V103" s="52">
        <v>1</v>
      </c>
      <c r="W103" s="24"/>
      <c r="X103" s="66">
        <f t="shared" si="5"/>
        <v>900</v>
      </c>
      <c r="Z103" s="84">
        <f t="shared" si="4"/>
        <v>0</v>
      </c>
    </row>
    <row r="104" spans="1:26" ht="49.5" customHeight="1">
      <c r="A104" s="2">
        <v>103</v>
      </c>
      <c r="B104" s="2" t="s">
        <v>1310</v>
      </c>
      <c r="C104" s="2" t="s">
        <v>317</v>
      </c>
      <c r="D104" s="2">
        <v>36</v>
      </c>
      <c r="E104" s="2" t="s">
        <v>318</v>
      </c>
      <c r="F104" s="2">
        <v>170</v>
      </c>
      <c r="G104" s="2" t="s">
        <v>329</v>
      </c>
      <c r="H104" s="2" t="s">
        <v>372</v>
      </c>
      <c r="I104" s="2">
        <v>902</v>
      </c>
      <c r="J104" s="23">
        <v>700</v>
      </c>
      <c r="K104" s="2" t="s">
        <v>24</v>
      </c>
      <c r="L104" s="2" t="s">
        <v>176</v>
      </c>
      <c r="M104" s="2" t="s">
        <v>26</v>
      </c>
      <c r="N104" s="2" t="s">
        <v>26</v>
      </c>
      <c r="O104" s="2" t="s">
        <v>26</v>
      </c>
      <c r="P104" s="13">
        <v>20</v>
      </c>
      <c r="Q104" s="2" t="s">
        <v>35</v>
      </c>
      <c r="R104" s="2" t="s">
        <v>369</v>
      </c>
      <c r="S104" s="2" t="s">
        <v>370</v>
      </c>
      <c r="T104" s="2" t="s">
        <v>373</v>
      </c>
      <c r="U104" s="10">
        <v>0</v>
      </c>
      <c r="V104" s="52">
        <v>1</v>
      </c>
      <c r="W104" s="24"/>
      <c r="X104" s="66">
        <f t="shared" si="5"/>
        <v>700</v>
      </c>
      <c r="Z104" s="84">
        <f t="shared" si="4"/>
        <v>0</v>
      </c>
    </row>
    <row r="105" spans="1:26" ht="49.5" customHeight="1">
      <c r="A105" s="2">
        <v>104</v>
      </c>
      <c r="B105" s="2" t="s">
        <v>1310</v>
      </c>
      <c r="C105" s="2" t="s">
        <v>317</v>
      </c>
      <c r="D105" s="2">
        <v>36</v>
      </c>
      <c r="E105" s="2" t="s">
        <v>318</v>
      </c>
      <c r="F105" s="2">
        <v>170</v>
      </c>
      <c r="G105" s="2" t="s">
        <v>329</v>
      </c>
      <c r="H105" s="2" t="s">
        <v>374</v>
      </c>
      <c r="I105" s="2" t="s">
        <v>375</v>
      </c>
      <c r="J105" s="23">
        <v>500</v>
      </c>
      <c r="K105" s="2" t="s">
        <v>24</v>
      </c>
      <c r="L105" s="2" t="s">
        <v>176</v>
      </c>
      <c r="M105" s="2" t="s">
        <v>26</v>
      </c>
      <c r="N105" s="2" t="s">
        <v>26</v>
      </c>
      <c r="O105" s="2" t="s">
        <v>26</v>
      </c>
      <c r="P105" s="13">
        <v>20</v>
      </c>
      <c r="Q105" s="2" t="s">
        <v>35</v>
      </c>
      <c r="R105" s="2" t="s">
        <v>376</v>
      </c>
      <c r="S105" s="2" t="s">
        <v>377</v>
      </c>
      <c r="T105" s="2" t="s">
        <v>378</v>
      </c>
      <c r="U105" s="10">
        <v>0.4</v>
      </c>
      <c r="V105" s="52">
        <v>0.6</v>
      </c>
      <c r="W105" s="24"/>
      <c r="X105" s="66">
        <f t="shared" si="5"/>
        <v>300</v>
      </c>
      <c r="Z105" s="84">
        <f t="shared" si="4"/>
        <v>200</v>
      </c>
    </row>
    <row r="106" spans="1:26" ht="49.5" customHeight="1">
      <c r="A106" s="2">
        <v>105</v>
      </c>
      <c r="B106" s="2" t="s">
        <v>1310</v>
      </c>
      <c r="C106" s="2" t="s">
        <v>317</v>
      </c>
      <c r="D106" s="2">
        <v>36</v>
      </c>
      <c r="E106" s="2" t="s">
        <v>318</v>
      </c>
      <c r="F106" s="2">
        <v>170</v>
      </c>
      <c r="G106" s="2" t="s">
        <v>329</v>
      </c>
      <c r="H106" s="2" t="s">
        <v>379</v>
      </c>
      <c r="I106" s="2" t="s">
        <v>380</v>
      </c>
      <c r="J106" s="23">
        <v>500</v>
      </c>
      <c r="K106" s="2" t="s">
        <v>24</v>
      </c>
      <c r="L106" s="2" t="s">
        <v>25</v>
      </c>
      <c r="M106" s="2" t="s">
        <v>26</v>
      </c>
      <c r="N106" s="2" t="s">
        <v>26</v>
      </c>
      <c r="O106" s="2" t="s">
        <v>26</v>
      </c>
      <c r="P106" s="13">
        <v>20</v>
      </c>
      <c r="Q106" s="2" t="s">
        <v>35</v>
      </c>
      <c r="R106" s="2" t="s">
        <v>376</v>
      </c>
      <c r="S106" s="2" t="s">
        <v>377</v>
      </c>
      <c r="T106" s="2" t="s">
        <v>381</v>
      </c>
      <c r="U106" s="10">
        <v>0</v>
      </c>
      <c r="V106" s="52">
        <v>1</v>
      </c>
      <c r="W106" s="24"/>
      <c r="X106" s="66">
        <f t="shared" si="5"/>
        <v>500</v>
      </c>
      <c r="Z106" s="84">
        <f t="shared" si="4"/>
        <v>0</v>
      </c>
    </row>
    <row r="107" spans="1:26" ht="49.5" customHeight="1">
      <c r="A107" s="2">
        <v>106</v>
      </c>
      <c r="B107" s="2" t="s">
        <v>1310</v>
      </c>
      <c r="C107" s="2" t="s">
        <v>317</v>
      </c>
      <c r="D107" s="2">
        <v>36</v>
      </c>
      <c r="E107" s="2" t="s">
        <v>318</v>
      </c>
      <c r="F107" s="2">
        <v>172</v>
      </c>
      <c r="G107" s="2" t="s">
        <v>339</v>
      </c>
      <c r="H107" s="2" t="s">
        <v>382</v>
      </c>
      <c r="I107" s="2" t="s">
        <v>383</v>
      </c>
      <c r="J107" s="23">
        <v>1500</v>
      </c>
      <c r="K107" s="2" t="s">
        <v>24</v>
      </c>
      <c r="L107" s="2" t="s">
        <v>176</v>
      </c>
      <c r="M107" s="2" t="s">
        <v>26</v>
      </c>
      <c r="N107" s="2" t="s">
        <v>26</v>
      </c>
      <c r="O107" s="2" t="s">
        <v>26</v>
      </c>
      <c r="P107" s="13">
        <v>20</v>
      </c>
      <c r="Q107" s="2"/>
      <c r="R107" s="2" t="s">
        <v>384</v>
      </c>
      <c r="S107" s="2" t="s">
        <v>385</v>
      </c>
      <c r="T107" s="2" t="s">
        <v>386</v>
      </c>
      <c r="U107" s="10">
        <v>1</v>
      </c>
      <c r="V107" s="52">
        <v>0</v>
      </c>
      <c r="W107" s="24"/>
      <c r="X107" s="66">
        <f t="shared" si="5"/>
        <v>0</v>
      </c>
      <c r="Z107" s="84">
        <f t="shared" si="4"/>
        <v>1500</v>
      </c>
    </row>
    <row r="108" spans="1:26" ht="49.5" customHeight="1">
      <c r="A108" s="2">
        <v>107</v>
      </c>
      <c r="B108" s="2" t="s">
        <v>1310</v>
      </c>
      <c r="C108" s="2" t="s">
        <v>317</v>
      </c>
      <c r="D108" s="2">
        <v>36</v>
      </c>
      <c r="E108" s="2" t="s">
        <v>318</v>
      </c>
      <c r="F108" s="2">
        <v>172</v>
      </c>
      <c r="G108" s="2" t="s">
        <v>339</v>
      </c>
      <c r="H108" s="2" t="s">
        <v>387</v>
      </c>
      <c r="I108" s="2" t="s">
        <v>388</v>
      </c>
      <c r="J108" s="23">
        <v>1500</v>
      </c>
      <c r="K108" s="2" t="s">
        <v>24</v>
      </c>
      <c r="L108" s="2" t="s">
        <v>82</v>
      </c>
      <c r="M108" s="2" t="s">
        <v>26</v>
      </c>
      <c r="N108" s="2" t="s">
        <v>26</v>
      </c>
      <c r="O108" s="2" t="s">
        <v>26</v>
      </c>
      <c r="P108" s="13">
        <v>30</v>
      </c>
      <c r="Q108" s="2" t="s">
        <v>35</v>
      </c>
      <c r="R108" s="2" t="s">
        <v>384</v>
      </c>
      <c r="S108" s="2" t="s">
        <v>385</v>
      </c>
      <c r="T108" s="2" t="s">
        <v>389</v>
      </c>
      <c r="U108" s="10">
        <v>1</v>
      </c>
      <c r="V108" s="52">
        <v>0</v>
      </c>
      <c r="W108" s="24"/>
      <c r="X108" s="66">
        <f t="shared" si="5"/>
        <v>0</v>
      </c>
      <c r="Z108" s="84">
        <f t="shared" si="4"/>
        <v>1500</v>
      </c>
    </row>
    <row r="109" spans="1:26" ht="49.5" customHeight="1">
      <c r="A109" s="2">
        <v>108</v>
      </c>
      <c r="B109" s="97" t="s">
        <v>18</v>
      </c>
      <c r="C109" s="97" t="s">
        <v>317</v>
      </c>
      <c r="D109" s="2">
        <v>37</v>
      </c>
      <c r="E109" s="2" t="s">
        <v>318</v>
      </c>
      <c r="F109" s="2">
        <v>172</v>
      </c>
      <c r="G109" s="2" t="s">
        <v>339</v>
      </c>
      <c r="H109" s="97" t="s">
        <v>1230</v>
      </c>
      <c r="I109" s="97" t="s">
        <v>1231</v>
      </c>
      <c r="J109" s="97">
        <v>2400</v>
      </c>
      <c r="K109" s="97" t="s">
        <v>24</v>
      </c>
      <c r="L109" s="97" t="s">
        <v>25</v>
      </c>
      <c r="M109" s="97" t="s">
        <v>26</v>
      </c>
      <c r="N109" s="97" t="s">
        <v>26</v>
      </c>
      <c r="O109" s="97" t="s">
        <v>26</v>
      </c>
      <c r="P109" s="97">
        <v>0</v>
      </c>
      <c r="Q109" s="97" t="s">
        <v>293</v>
      </c>
      <c r="R109" s="97" t="s">
        <v>293</v>
      </c>
      <c r="S109" s="97" t="s">
        <v>336</v>
      </c>
      <c r="T109" s="97" t="s">
        <v>1232</v>
      </c>
      <c r="U109" s="98">
        <v>1</v>
      </c>
      <c r="V109" s="10">
        <v>0</v>
      </c>
      <c r="W109" s="24"/>
      <c r="X109" s="66">
        <f t="shared" ref="X109:X115" si="6">V109*J109</f>
        <v>0</v>
      </c>
      <c r="Z109" s="84">
        <f t="shared" si="4"/>
        <v>2400</v>
      </c>
    </row>
    <row r="110" spans="1:26" ht="49.5" customHeight="1">
      <c r="A110" s="2">
        <v>109</v>
      </c>
      <c r="B110" s="97" t="s">
        <v>18</v>
      </c>
      <c r="C110" s="97" t="s">
        <v>317</v>
      </c>
      <c r="D110" s="2">
        <v>38</v>
      </c>
      <c r="E110" s="2" t="s">
        <v>318</v>
      </c>
      <c r="F110" s="2">
        <v>172</v>
      </c>
      <c r="G110" s="2" t="s">
        <v>339</v>
      </c>
      <c r="H110" s="97" t="s">
        <v>1233</v>
      </c>
      <c r="I110" s="97" t="s">
        <v>1234</v>
      </c>
      <c r="J110" s="97">
        <v>1500</v>
      </c>
      <c r="K110" s="97" t="s">
        <v>24</v>
      </c>
      <c r="L110" s="97" t="s">
        <v>25</v>
      </c>
      <c r="M110" s="97" t="s">
        <v>26</v>
      </c>
      <c r="N110" s="97" t="s">
        <v>26</v>
      </c>
      <c r="O110" s="97" t="s">
        <v>26</v>
      </c>
      <c r="P110" s="97">
        <v>0</v>
      </c>
      <c r="Q110" s="97" t="s">
        <v>293</v>
      </c>
      <c r="R110" s="97" t="s">
        <v>293</v>
      </c>
      <c r="S110" s="97" t="s">
        <v>336</v>
      </c>
      <c r="T110" s="97" t="s">
        <v>1235</v>
      </c>
      <c r="U110" s="98">
        <v>1</v>
      </c>
      <c r="V110" s="10">
        <v>0</v>
      </c>
      <c r="W110" s="24"/>
      <c r="X110" s="66">
        <f t="shared" si="6"/>
        <v>0</v>
      </c>
      <c r="Z110" s="84">
        <f t="shared" si="4"/>
        <v>1500</v>
      </c>
    </row>
    <row r="111" spans="1:26" ht="49.5" customHeight="1">
      <c r="A111" s="2">
        <v>110</v>
      </c>
      <c r="B111" s="97" t="s">
        <v>18</v>
      </c>
      <c r="C111" s="97" t="s">
        <v>317</v>
      </c>
      <c r="D111" s="2">
        <v>39</v>
      </c>
      <c r="E111" s="2" t="s">
        <v>318</v>
      </c>
      <c r="F111" s="2">
        <v>172</v>
      </c>
      <c r="G111" s="2" t="s">
        <v>339</v>
      </c>
      <c r="H111" s="97" t="s">
        <v>1236</v>
      </c>
      <c r="I111" s="97" t="s">
        <v>1237</v>
      </c>
      <c r="J111" s="97">
        <v>2000</v>
      </c>
      <c r="K111" s="97" t="s">
        <v>24</v>
      </c>
      <c r="L111" s="97" t="s">
        <v>25</v>
      </c>
      <c r="M111" s="97" t="s">
        <v>26</v>
      </c>
      <c r="N111" s="97" t="s">
        <v>26</v>
      </c>
      <c r="O111" s="97" t="s">
        <v>26</v>
      </c>
      <c r="P111" s="97">
        <v>0</v>
      </c>
      <c r="Q111" s="97" t="s">
        <v>293</v>
      </c>
      <c r="R111" s="97" t="s">
        <v>293</v>
      </c>
      <c r="S111" s="97" t="s">
        <v>336</v>
      </c>
      <c r="T111" s="97" t="s">
        <v>1238</v>
      </c>
      <c r="U111" s="98">
        <v>1</v>
      </c>
      <c r="V111" s="10">
        <v>0</v>
      </c>
      <c r="W111" s="24"/>
      <c r="X111" s="66">
        <f t="shared" si="6"/>
        <v>0</v>
      </c>
      <c r="Z111" s="84">
        <f t="shared" si="4"/>
        <v>2000</v>
      </c>
    </row>
    <row r="112" spans="1:26" ht="49.5" customHeight="1">
      <c r="A112" s="2">
        <v>111</v>
      </c>
      <c r="B112" s="97" t="s">
        <v>18</v>
      </c>
      <c r="C112" s="97" t="s">
        <v>317</v>
      </c>
      <c r="D112" s="2">
        <v>40</v>
      </c>
      <c r="E112" s="2" t="s">
        <v>318</v>
      </c>
      <c r="F112" s="2">
        <v>172</v>
      </c>
      <c r="G112" s="2" t="s">
        <v>339</v>
      </c>
      <c r="H112" s="97" t="s">
        <v>1239</v>
      </c>
      <c r="I112" s="97" t="s">
        <v>1240</v>
      </c>
      <c r="J112" s="97">
        <v>2500</v>
      </c>
      <c r="K112" s="97" t="s">
        <v>24</v>
      </c>
      <c r="L112" s="97" t="s">
        <v>25</v>
      </c>
      <c r="M112" s="97" t="s">
        <v>26</v>
      </c>
      <c r="N112" s="97" t="s">
        <v>26</v>
      </c>
      <c r="O112" s="97" t="s">
        <v>26</v>
      </c>
      <c r="P112" s="97">
        <v>0</v>
      </c>
      <c r="Q112" s="97" t="s">
        <v>293</v>
      </c>
      <c r="R112" s="97" t="s">
        <v>293</v>
      </c>
      <c r="S112" s="97" t="s">
        <v>336</v>
      </c>
      <c r="T112" s="97" t="s">
        <v>1241</v>
      </c>
      <c r="U112" s="98">
        <v>1</v>
      </c>
      <c r="V112" s="10">
        <v>0</v>
      </c>
      <c r="W112" s="24"/>
      <c r="X112" s="66">
        <f t="shared" si="6"/>
        <v>0</v>
      </c>
      <c r="Z112" s="84">
        <f t="shared" si="4"/>
        <v>2500</v>
      </c>
    </row>
    <row r="113" spans="1:28" ht="49.5" customHeight="1">
      <c r="A113" s="2">
        <v>112</v>
      </c>
      <c r="B113" s="97" t="s">
        <v>18</v>
      </c>
      <c r="C113" s="97" t="s">
        <v>317</v>
      </c>
      <c r="D113" s="2">
        <v>41</v>
      </c>
      <c r="E113" s="2" t="s">
        <v>318</v>
      </c>
      <c r="F113" s="2">
        <v>172</v>
      </c>
      <c r="G113" s="2" t="s">
        <v>339</v>
      </c>
      <c r="H113" s="97" t="s">
        <v>1242</v>
      </c>
      <c r="I113" s="97" t="s">
        <v>1243</v>
      </c>
      <c r="J113" s="97">
        <v>400</v>
      </c>
      <c r="K113" s="97" t="s">
        <v>24</v>
      </c>
      <c r="L113" s="97" t="s">
        <v>25</v>
      </c>
      <c r="M113" s="97" t="s">
        <v>26</v>
      </c>
      <c r="N113" s="97" t="s">
        <v>26</v>
      </c>
      <c r="O113" s="97" t="s">
        <v>26</v>
      </c>
      <c r="P113" s="97">
        <v>0</v>
      </c>
      <c r="Q113" s="97" t="s">
        <v>293</v>
      </c>
      <c r="R113" s="97" t="s">
        <v>293</v>
      </c>
      <c r="S113" s="97" t="s">
        <v>336</v>
      </c>
      <c r="T113" s="97" t="s">
        <v>1244</v>
      </c>
      <c r="U113" s="98">
        <v>1</v>
      </c>
      <c r="V113" s="10">
        <v>0</v>
      </c>
      <c r="W113" s="24"/>
      <c r="X113" s="66">
        <f t="shared" si="6"/>
        <v>0</v>
      </c>
      <c r="Z113" s="84">
        <f t="shared" si="4"/>
        <v>400</v>
      </c>
    </row>
    <row r="114" spans="1:28" ht="49.5" customHeight="1" thickBot="1">
      <c r="A114" s="2">
        <v>113</v>
      </c>
      <c r="B114" s="97" t="s">
        <v>18</v>
      </c>
      <c r="C114" s="97" t="s">
        <v>317</v>
      </c>
      <c r="D114" s="2">
        <v>42</v>
      </c>
      <c r="E114" s="2" t="s">
        <v>318</v>
      </c>
      <c r="F114" s="2">
        <v>172</v>
      </c>
      <c r="G114" s="2" t="s">
        <v>339</v>
      </c>
      <c r="H114" s="97" t="s">
        <v>1245</v>
      </c>
      <c r="I114" s="97" t="s">
        <v>1246</v>
      </c>
      <c r="J114" s="97">
        <v>2400</v>
      </c>
      <c r="K114" s="97" t="s">
        <v>24</v>
      </c>
      <c r="L114" s="97" t="s">
        <v>25</v>
      </c>
      <c r="M114" s="97" t="s">
        <v>26</v>
      </c>
      <c r="N114" s="97" t="s">
        <v>26</v>
      </c>
      <c r="O114" s="97" t="s">
        <v>26</v>
      </c>
      <c r="P114" s="97">
        <v>0</v>
      </c>
      <c r="Q114" s="97" t="s">
        <v>293</v>
      </c>
      <c r="R114" s="97" t="s">
        <v>293</v>
      </c>
      <c r="S114" s="97" t="s">
        <v>336</v>
      </c>
      <c r="T114" s="97" t="s">
        <v>1247</v>
      </c>
      <c r="U114" s="98">
        <v>0.75</v>
      </c>
      <c r="V114" s="10">
        <v>0.25</v>
      </c>
      <c r="W114" s="24"/>
      <c r="X114" s="66">
        <f t="shared" si="6"/>
        <v>600</v>
      </c>
      <c r="Z114" s="84">
        <f t="shared" si="4"/>
        <v>1800</v>
      </c>
    </row>
    <row r="115" spans="1:28" ht="49.5" customHeight="1" thickBot="1">
      <c r="A115" s="2">
        <v>114</v>
      </c>
      <c r="B115" s="99" t="s">
        <v>18</v>
      </c>
      <c r="C115" s="99" t="s">
        <v>317</v>
      </c>
      <c r="D115" s="53">
        <v>43</v>
      </c>
      <c r="E115" s="53" t="s">
        <v>318</v>
      </c>
      <c r="F115" s="53">
        <v>170</v>
      </c>
      <c r="G115" s="53" t="s">
        <v>329</v>
      </c>
      <c r="H115" s="99" t="s">
        <v>1248</v>
      </c>
      <c r="I115" s="99" t="s">
        <v>1249</v>
      </c>
      <c r="J115" s="99">
        <v>500</v>
      </c>
      <c r="K115" s="99" t="s">
        <v>24</v>
      </c>
      <c r="L115" s="99" t="s">
        <v>25</v>
      </c>
      <c r="M115" s="99" t="s">
        <v>26</v>
      </c>
      <c r="N115" s="99" t="s">
        <v>26</v>
      </c>
      <c r="O115" s="99" t="s">
        <v>26</v>
      </c>
      <c r="P115" s="99">
        <v>0</v>
      </c>
      <c r="Q115" s="99" t="s">
        <v>293</v>
      </c>
      <c r="R115" s="99" t="s">
        <v>293</v>
      </c>
      <c r="S115" s="99" t="s">
        <v>336</v>
      </c>
      <c r="T115" s="99" t="s">
        <v>1250</v>
      </c>
      <c r="U115" s="100">
        <v>1</v>
      </c>
      <c r="V115" s="63">
        <v>0</v>
      </c>
      <c r="W115" s="65"/>
      <c r="X115" s="66">
        <f t="shared" si="6"/>
        <v>0</v>
      </c>
      <c r="Z115" s="87">
        <f t="shared" si="4"/>
        <v>500</v>
      </c>
      <c r="AA115" s="70">
        <f>SUM(Z89:Z115)</f>
        <v>23648</v>
      </c>
      <c r="AB115" s="93">
        <f>SUM(J89:J115)</f>
        <v>44948</v>
      </c>
    </row>
    <row r="116" spans="1:28" ht="49.5" customHeight="1">
      <c r="A116" s="2">
        <v>115</v>
      </c>
      <c r="B116" s="55" t="s">
        <v>18</v>
      </c>
      <c r="C116" s="55" t="s">
        <v>57</v>
      </c>
      <c r="D116" s="55">
        <v>36</v>
      </c>
      <c r="E116" s="55" t="s">
        <v>318</v>
      </c>
      <c r="F116" s="55">
        <v>170</v>
      </c>
      <c r="G116" s="55" t="s">
        <v>329</v>
      </c>
      <c r="H116" s="55" t="s">
        <v>390</v>
      </c>
      <c r="I116" s="55" t="s">
        <v>391</v>
      </c>
      <c r="J116" s="55">
        <v>1500</v>
      </c>
      <c r="K116" s="55" t="s">
        <v>24</v>
      </c>
      <c r="L116" s="55" t="s">
        <v>176</v>
      </c>
      <c r="M116" s="55" t="s">
        <v>26</v>
      </c>
      <c r="N116" s="55" t="s">
        <v>26</v>
      </c>
      <c r="O116" s="55" t="s">
        <v>26</v>
      </c>
      <c r="P116" s="57">
        <v>80</v>
      </c>
      <c r="Q116" s="55" t="s">
        <v>35</v>
      </c>
      <c r="R116" s="55" t="s">
        <v>293</v>
      </c>
      <c r="S116" s="55" t="s">
        <v>342</v>
      </c>
      <c r="T116" s="55" t="s">
        <v>390</v>
      </c>
      <c r="U116" s="59">
        <v>0</v>
      </c>
      <c r="V116" s="60">
        <v>1</v>
      </c>
      <c r="W116" s="61"/>
      <c r="X116" s="82">
        <f t="shared" ref="X116:X178" si="7">V116*J116</f>
        <v>1500</v>
      </c>
      <c r="Z116" s="83">
        <f t="shared" si="4"/>
        <v>0</v>
      </c>
    </row>
    <row r="117" spans="1:28" ht="49.5" customHeight="1">
      <c r="A117" s="2">
        <v>116</v>
      </c>
      <c r="B117" s="2" t="s">
        <v>18</v>
      </c>
      <c r="C117" s="2" t="s">
        <v>57</v>
      </c>
      <c r="D117" s="2">
        <v>36</v>
      </c>
      <c r="E117" s="2" t="s">
        <v>318</v>
      </c>
      <c r="F117" s="2">
        <v>239</v>
      </c>
      <c r="G117" s="2" t="s">
        <v>392</v>
      </c>
      <c r="H117" s="2" t="s">
        <v>393</v>
      </c>
      <c r="I117" s="2" t="s">
        <v>394</v>
      </c>
      <c r="J117" s="2">
        <v>4000</v>
      </c>
      <c r="K117" s="2" t="s">
        <v>24</v>
      </c>
      <c r="L117" s="2" t="s">
        <v>176</v>
      </c>
      <c r="M117" s="2" t="s">
        <v>26</v>
      </c>
      <c r="N117" s="2" t="s">
        <v>26</v>
      </c>
      <c r="O117" s="2" t="s">
        <v>26</v>
      </c>
      <c r="P117" s="13">
        <v>100</v>
      </c>
      <c r="Q117" s="2" t="s">
        <v>35</v>
      </c>
      <c r="R117" s="2" t="s">
        <v>293</v>
      </c>
      <c r="S117" s="2" t="s">
        <v>395</v>
      </c>
      <c r="T117" s="2" t="s">
        <v>393</v>
      </c>
      <c r="U117" s="10">
        <v>0.8</v>
      </c>
      <c r="V117" s="52">
        <v>0.2</v>
      </c>
      <c r="W117" s="24"/>
      <c r="X117" s="66">
        <f t="shared" si="7"/>
        <v>800</v>
      </c>
      <c r="Z117" s="84">
        <f t="shared" si="4"/>
        <v>3200</v>
      </c>
    </row>
    <row r="118" spans="1:28" ht="49.5" customHeight="1">
      <c r="A118" s="2">
        <v>117</v>
      </c>
      <c r="B118" s="2" t="s">
        <v>18</v>
      </c>
      <c r="C118" s="2" t="s">
        <v>57</v>
      </c>
      <c r="D118" s="2">
        <v>36</v>
      </c>
      <c r="E118" s="2" t="s">
        <v>318</v>
      </c>
      <c r="F118" s="2">
        <v>246</v>
      </c>
      <c r="G118" s="2" t="s">
        <v>396</v>
      </c>
      <c r="H118" s="2" t="s">
        <v>397</v>
      </c>
      <c r="I118" s="2">
        <v>3405</v>
      </c>
      <c r="J118" s="2">
        <v>2000</v>
      </c>
      <c r="K118" s="2" t="s">
        <v>24</v>
      </c>
      <c r="L118" s="2" t="s">
        <v>176</v>
      </c>
      <c r="M118" s="2" t="s">
        <v>26</v>
      </c>
      <c r="N118" s="2" t="s">
        <v>26</v>
      </c>
      <c r="O118" s="2" t="s">
        <v>26</v>
      </c>
      <c r="P118" s="13">
        <v>80</v>
      </c>
      <c r="Q118" s="2" t="s">
        <v>35</v>
      </c>
      <c r="R118" s="2" t="s">
        <v>293</v>
      </c>
      <c r="S118" s="2" t="s">
        <v>395</v>
      </c>
      <c r="T118" s="2" t="s">
        <v>397</v>
      </c>
      <c r="U118" s="10">
        <v>0</v>
      </c>
      <c r="V118" s="52">
        <v>1</v>
      </c>
      <c r="W118" s="24"/>
      <c r="X118" s="66">
        <f t="shared" si="7"/>
        <v>2000</v>
      </c>
      <c r="Z118" s="84">
        <f t="shared" si="4"/>
        <v>0</v>
      </c>
    </row>
    <row r="119" spans="1:28" ht="49.5" customHeight="1">
      <c r="A119" s="2">
        <v>118</v>
      </c>
      <c r="B119" s="2" t="s">
        <v>18</v>
      </c>
      <c r="C119" s="2" t="s">
        <v>57</v>
      </c>
      <c r="D119" s="2">
        <v>36</v>
      </c>
      <c r="E119" s="2" t="s">
        <v>318</v>
      </c>
      <c r="F119" s="2">
        <v>247</v>
      </c>
      <c r="G119" s="2" t="s">
        <v>319</v>
      </c>
      <c r="H119" s="2" t="s">
        <v>398</v>
      </c>
      <c r="I119" s="2" t="s">
        <v>399</v>
      </c>
      <c r="J119" s="2">
        <v>400</v>
      </c>
      <c r="K119" s="2" t="s">
        <v>24</v>
      </c>
      <c r="L119" s="2" t="s">
        <v>176</v>
      </c>
      <c r="M119" s="2" t="s">
        <v>26</v>
      </c>
      <c r="N119" s="2" t="s">
        <v>26</v>
      </c>
      <c r="O119" s="2" t="s">
        <v>26</v>
      </c>
      <c r="P119" s="13">
        <v>80</v>
      </c>
      <c r="Q119" s="2" t="s">
        <v>35</v>
      </c>
      <c r="R119" s="2" t="s">
        <v>293</v>
      </c>
      <c r="S119" s="2" t="s">
        <v>332</v>
      </c>
      <c r="T119" s="2" t="s">
        <v>398</v>
      </c>
      <c r="U119" s="10">
        <v>0</v>
      </c>
      <c r="V119" s="52">
        <v>1</v>
      </c>
      <c r="W119" s="24"/>
      <c r="X119" s="66">
        <f t="shared" si="7"/>
        <v>400</v>
      </c>
      <c r="Z119" s="84">
        <f t="shared" si="4"/>
        <v>0</v>
      </c>
    </row>
    <row r="120" spans="1:28" ht="49.5" customHeight="1">
      <c r="A120" s="2">
        <v>119</v>
      </c>
      <c r="B120" s="2" t="s">
        <v>297</v>
      </c>
      <c r="C120" s="2" t="s">
        <v>57</v>
      </c>
      <c r="D120" s="2">
        <v>21</v>
      </c>
      <c r="E120" s="2" t="s">
        <v>31</v>
      </c>
      <c r="F120" s="2">
        <v>176</v>
      </c>
      <c r="G120" s="2" t="s">
        <v>400</v>
      </c>
      <c r="H120" s="2" t="s">
        <v>401</v>
      </c>
      <c r="I120" s="2" t="s">
        <v>402</v>
      </c>
      <c r="J120" s="17">
        <v>3700</v>
      </c>
      <c r="K120" s="2" t="s">
        <v>89</v>
      </c>
      <c r="L120" s="2" t="s">
        <v>176</v>
      </c>
      <c r="M120" s="2" t="s">
        <v>26</v>
      </c>
      <c r="N120" s="2" t="s">
        <v>26</v>
      </c>
      <c r="O120" s="2" t="s">
        <v>26</v>
      </c>
      <c r="P120" s="2" t="s">
        <v>298</v>
      </c>
      <c r="Q120" s="2" t="s">
        <v>35</v>
      </c>
      <c r="R120" s="2" t="s">
        <v>403</v>
      </c>
      <c r="S120" s="19" t="s">
        <v>404</v>
      </c>
      <c r="T120" s="2"/>
      <c r="U120" s="10">
        <v>0</v>
      </c>
      <c r="V120" s="52">
        <v>1</v>
      </c>
      <c r="W120" s="24"/>
      <c r="X120" s="66">
        <f t="shared" si="7"/>
        <v>3700</v>
      </c>
      <c r="Z120" s="84">
        <f t="shared" si="4"/>
        <v>0</v>
      </c>
    </row>
    <row r="121" spans="1:28" ht="49.5" customHeight="1">
      <c r="A121" s="2">
        <v>120</v>
      </c>
      <c r="B121" s="2" t="s">
        <v>1310</v>
      </c>
      <c r="C121" s="2" t="s">
        <v>57</v>
      </c>
      <c r="D121" s="2">
        <v>36</v>
      </c>
      <c r="E121" s="2" t="s">
        <v>318</v>
      </c>
      <c r="F121" s="2">
        <v>247</v>
      </c>
      <c r="G121" s="2" t="s">
        <v>319</v>
      </c>
      <c r="H121" s="2" t="s">
        <v>407</v>
      </c>
      <c r="I121" s="2" t="s">
        <v>408</v>
      </c>
      <c r="J121" s="23">
        <v>2700</v>
      </c>
      <c r="K121" s="2" t="s">
        <v>24</v>
      </c>
      <c r="L121" s="2" t="s">
        <v>176</v>
      </c>
      <c r="M121" s="2" t="s">
        <v>215</v>
      </c>
      <c r="N121" s="2" t="s">
        <v>215</v>
      </c>
      <c r="O121" s="2" t="s">
        <v>26</v>
      </c>
      <c r="P121" s="13">
        <v>20</v>
      </c>
      <c r="Q121" s="2" t="s">
        <v>35</v>
      </c>
      <c r="R121" s="2" t="s">
        <v>409</v>
      </c>
      <c r="S121" s="2" t="s">
        <v>410</v>
      </c>
      <c r="T121" s="2" t="s">
        <v>411</v>
      </c>
      <c r="U121" s="10">
        <v>1</v>
      </c>
      <c r="V121" s="52">
        <v>0</v>
      </c>
      <c r="W121" s="24"/>
      <c r="X121" s="66">
        <f t="shared" si="7"/>
        <v>0</v>
      </c>
      <c r="Z121" s="84">
        <f t="shared" si="4"/>
        <v>2700</v>
      </c>
    </row>
    <row r="122" spans="1:28" ht="49.5" customHeight="1">
      <c r="A122" s="2">
        <v>121</v>
      </c>
      <c r="B122" s="2" t="s">
        <v>1310</v>
      </c>
      <c r="C122" s="2" t="s">
        <v>57</v>
      </c>
      <c r="D122" s="2">
        <v>36</v>
      </c>
      <c r="E122" s="2" t="s">
        <v>318</v>
      </c>
      <c r="F122" s="2">
        <v>247</v>
      </c>
      <c r="G122" s="2" t="s">
        <v>319</v>
      </c>
      <c r="H122" s="2" t="s">
        <v>412</v>
      </c>
      <c r="I122" s="2">
        <v>683</v>
      </c>
      <c r="J122" s="23">
        <v>750</v>
      </c>
      <c r="K122" s="2" t="s">
        <v>24</v>
      </c>
      <c r="L122" s="2" t="s">
        <v>176</v>
      </c>
      <c r="M122" s="2" t="s">
        <v>26</v>
      </c>
      <c r="N122" s="2" t="s">
        <v>26</v>
      </c>
      <c r="O122" s="2" t="s">
        <v>26</v>
      </c>
      <c r="P122" s="13">
        <v>20</v>
      </c>
      <c r="Q122" s="2" t="s">
        <v>35</v>
      </c>
      <c r="R122" s="2" t="s">
        <v>413</v>
      </c>
      <c r="S122" s="2" t="s">
        <v>414</v>
      </c>
      <c r="T122" s="2" t="s">
        <v>415</v>
      </c>
      <c r="U122" s="10">
        <v>1</v>
      </c>
      <c r="V122" s="52">
        <v>0</v>
      </c>
      <c r="W122" s="24"/>
      <c r="X122" s="66">
        <f t="shared" si="7"/>
        <v>0</v>
      </c>
      <c r="Z122" s="84">
        <f t="shared" si="4"/>
        <v>750</v>
      </c>
    </row>
    <row r="123" spans="1:28" ht="49.5" customHeight="1">
      <c r="A123" s="2">
        <v>122</v>
      </c>
      <c r="B123" s="2" t="s">
        <v>1310</v>
      </c>
      <c r="C123" s="2" t="s">
        <v>57</v>
      </c>
      <c r="D123" s="2">
        <v>36</v>
      </c>
      <c r="E123" s="2" t="s">
        <v>318</v>
      </c>
      <c r="F123" s="2">
        <v>249</v>
      </c>
      <c r="G123" s="2" t="s">
        <v>416</v>
      </c>
      <c r="H123" s="2" t="s">
        <v>417</v>
      </c>
      <c r="I123" s="2">
        <v>1710</v>
      </c>
      <c r="J123" s="23">
        <v>300</v>
      </c>
      <c r="K123" s="2" t="s">
        <v>24</v>
      </c>
      <c r="L123" s="2" t="s">
        <v>176</v>
      </c>
      <c r="M123" s="2" t="s">
        <v>26</v>
      </c>
      <c r="N123" s="2" t="s">
        <v>26</v>
      </c>
      <c r="O123" s="2" t="s">
        <v>26</v>
      </c>
      <c r="P123" s="13">
        <v>20</v>
      </c>
      <c r="Q123" s="2" t="s">
        <v>35</v>
      </c>
      <c r="R123" s="2" t="s">
        <v>418</v>
      </c>
      <c r="S123" s="2" t="s">
        <v>419</v>
      </c>
      <c r="T123" s="2" t="s">
        <v>420</v>
      </c>
      <c r="U123" s="10">
        <v>0</v>
      </c>
      <c r="V123" s="52">
        <v>1</v>
      </c>
      <c r="W123" s="24"/>
      <c r="X123" s="66">
        <f t="shared" si="7"/>
        <v>300</v>
      </c>
      <c r="Z123" s="84">
        <f t="shared" si="4"/>
        <v>0</v>
      </c>
    </row>
    <row r="124" spans="1:28" s="12" customFormat="1" ht="49.5" customHeight="1">
      <c r="A124" s="2">
        <v>123</v>
      </c>
      <c r="B124" s="2" t="s">
        <v>1310</v>
      </c>
      <c r="C124" s="2" t="s">
        <v>57</v>
      </c>
      <c r="D124" s="2">
        <v>36</v>
      </c>
      <c r="E124" s="2" t="s">
        <v>318</v>
      </c>
      <c r="F124" s="2">
        <v>249</v>
      </c>
      <c r="G124" s="2" t="s">
        <v>416</v>
      </c>
      <c r="H124" s="2" t="s">
        <v>421</v>
      </c>
      <c r="I124" s="2">
        <v>1537</v>
      </c>
      <c r="J124" s="23">
        <v>1500</v>
      </c>
      <c r="K124" s="2" t="s">
        <v>24</v>
      </c>
      <c r="L124" s="2" t="s">
        <v>176</v>
      </c>
      <c r="M124" s="2" t="s">
        <v>26</v>
      </c>
      <c r="N124" s="2" t="s">
        <v>215</v>
      </c>
      <c r="O124" s="2" t="s">
        <v>26</v>
      </c>
      <c r="P124" s="13">
        <v>20</v>
      </c>
      <c r="Q124" s="2" t="s">
        <v>35</v>
      </c>
      <c r="R124" s="2" t="s">
        <v>418</v>
      </c>
      <c r="S124" s="2" t="s">
        <v>419</v>
      </c>
      <c r="T124" s="2" t="s">
        <v>1215</v>
      </c>
      <c r="U124" s="10">
        <v>0</v>
      </c>
      <c r="V124" s="52">
        <v>1</v>
      </c>
      <c r="W124" s="24"/>
      <c r="X124" s="66">
        <f t="shared" si="7"/>
        <v>1500</v>
      </c>
      <c r="Y124" s="25"/>
      <c r="Z124" s="84">
        <f t="shared" si="4"/>
        <v>0</v>
      </c>
      <c r="AA124" s="24"/>
    </row>
    <row r="125" spans="1:28" ht="49.5" customHeight="1">
      <c r="A125" s="2">
        <v>124</v>
      </c>
      <c r="B125" s="97" t="s">
        <v>18</v>
      </c>
      <c r="C125" s="97" t="s">
        <v>57</v>
      </c>
      <c r="D125" s="2">
        <v>36</v>
      </c>
      <c r="E125" s="2" t="s">
        <v>318</v>
      </c>
      <c r="F125" s="2">
        <v>247</v>
      </c>
      <c r="G125" s="2" t="s">
        <v>319</v>
      </c>
      <c r="H125" s="97" t="s">
        <v>1217</v>
      </c>
      <c r="I125" s="97" t="s">
        <v>1218</v>
      </c>
      <c r="J125" s="97">
        <v>2308</v>
      </c>
      <c r="K125" s="97" t="s">
        <v>24</v>
      </c>
      <c r="L125" s="97" t="s">
        <v>25</v>
      </c>
      <c r="M125" s="97" t="s">
        <v>26</v>
      </c>
      <c r="N125" s="97" t="s">
        <v>26</v>
      </c>
      <c r="O125" s="97" t="s">
        <v>26</v>
      </c>
      <c r="P125" s="97">
        <v>0</v>
      </c>
      <c r="Q125" s="97" t="s">
        <v>293</v>
      </c>
      <c r="R125" s="97" t="s">
        <v>293</v>
      </c>
      <c r="S125" s="97" t="s">
        <v>395</v>
      </c>
      <c r="T125" s="97" t="s">
        <v>1219</v>
      </c>
      <c r="U125" s="101">
        <v>0.8</v>
      </c>
      <c r="V125" s="10">
        <v>0.2</v>
      </c>
      <c r="W125" s="24"/>
      <c r="X125" s="66">
        <f t="shared" si="7"/>
        <v>461.6</v>
      </c>
      <c r="Z125" s="84">
        <f t="shared" si="4"/>
        <v>1846.4</v>
      </c>
    </row>
    <row r="126" spans="1:28" ht="49.5" customHeight="1">
      <c r="A126" s="2">
        <v>125</v>
      </c>
      <c r="B126" s="97" t="s">
        <v>18</v>
      </c>
      <c r="C126" s="97" t="s">
        <v>57</v>
      </c>
      <c r="D126" s="2">
        <v>36</v>
      </c>
      <c r="E126" s="2" t="s">
        <v>318</v>
      </c>
      <c r="F126" s="2">
        <v>247</v>
      </c>
      <c r="G126" s="2" t="s">
        <v>319</v>
      </c>
      <c r="H126" s="97" t="s">
        <v>1220</v>
      </c>
      <c r="I126" s="97" t="s">
        <v>1221</v>
      </c>
      <c r="J126" s="97">
        <v>3188</v>
      </c>
      <c r="K126" s="97" t="s">
        <v>24</v>
      </c>
      <c r="L126" s="97" t="s">
        <v>176</v>
      </c>
      <c r="M126" s="97" t="s">
        <v>26</v>
      </c>
      <c r="N126" s="97" t="s">
        <v>26</v>
      </c>
      <c r="O126" s="97" t="s">
        <v>26</v>
      </c>
      <c r="P126" s="97">
        <v>0</v>
      </c>
      <c r="Q126" s="97" t="s">
        <v>293</v>
      </c>
      <c r="R126" s="97" t="s">
        <v>293</v>
      </c>
      <c r="S126" s="97" t="s">
        <v>395</v>
      </c>
      <c r="T126" s="97" t="s">
        <v>1222</v>
      </c>
      <c r="U126" s="101">
        <v>0.7</v>
      </c>
      <c r="V126" s="10">
        <v>0.3</v>
      </c>
      <c r="W126" s="24"/>
      <c r="X126" s="66">
        <f t="shared" si="7"/>
        <v>956.4</v>
      </c>
      <c r="Z126" s="84">
        <f t="shared" si="4"/>
        <v>2231.6</v>
      </c>
    </row>
    <row r="127" spans="1:28" ht="49.5" customHeight="1">
      <c r="A127" s="2">
        <v>126</v>
      </c>
      <c r="B127" s="97" t="s">
        <v>18</v>
      </c>
      <c r="C127" s="97" t="s">
        <v>57</v>
      </c>
      <c r="D127" s="2">
        <v>36</v>
      </c>
      <c r="E127" s="2" t="s">
        <v>318</v>
      </c>
      <c r="F127" s="2">
        <v>247</v>
      </c>
      <c r="G127" s="2" t="s">
        <v>319</v>
      </c>
      <c r="H127" s="97" t="s">
        <v>1223</v>
      </c>
      <c r="I127" s="97" t="s">
        <v>1224</v>
      </c>
      <c r="J127" s="97">
        <v>3228</v>
      </c>
      <c r="K127" s="97" t="s">
        <v>24</v>
      </c>
      <c r="L127" s="97" t="s">
        <v>25</v>
      </c>
      <c r="M127" s="97" t="s">
        <v>26</v>
      </c>
      <c r="N127" s="97" t="s">
        <v>26</v>
      </c>
      <c r="O127" s="97" t="s">
        <v>26</v>
      </c>
      <c r="P127" s="97">
        <v>0</v>
      </c>
      <c r="Q127" s="97" t="s">
        <v>293</v>
      </c>
      <c r="R127" s="97" t="s">
        <v>293</v>
      </c>
      <c r="S127" s="97" t="s">
        <v>395</v>
      </c>
      <c r="T127" s="97" t="s">
        <v>1223</v>
      </c>
      <c r="U127" s="101">
        <v>0.8</v>
      </c>
      <c r="V127" s="10">
        <v>0.2</v>
      </c>
      <c r="W127" s="24"/>
      <c r="X127" s="66">
        <f t="shared" si="7"/>
        <v>645.6</v>
      </c>
      <c r="Z127" s="84">
        <f t="shared" si="4"/>
        <v>2582.4</v>
      </c>
    </row>
    <row r="128" spans="1:28" ht="49.5" customHeight="1" thickBot="1">
      <c r="A128" s="2">
        <v>127</v>
      </c>
      <c r="B128" s="97" t="s">
        <v>18</v>
      </c>
      <c r="C128" s="97" t="s">
        <v>57</v>
      </c>
      <c r="D128" s="2">
        <v>36</v>
      </c>
      <c r="E128" s="2" t="s">
        <v>318</v>
      </c>
      <c r="F128" s="2">
        <v>247</v>
      </c>
      <c r="G128" s="2" t="s">
        <v>319</v>
      </c>
      <c r="H128" s="97" t="s">
        <v>318</v>
      </c>
      <c r="I128" s="97" t="s">
        <v>1225</v>
      </c>
      <c r="J128" s="97">
        <v>4000</v>
      </c>
      <c r="K128" s="97" t="s">
        <v>24</v>
      </c>
      <c r="L128" s="97" t="s">
        <v>25</v>
      </c>
      <c r="M128" s="97" t="s">
        <v>26</v>
      </c>
      <c r="N128" s="97" t="s">
        <v>26</v>
      </c>
      <c r="O128" s="97" t="s">
        <v>1226</v>
      </c>
      <c r="P128" s="97">
        <v>0</v>
      </c>
      <c r="Q128" s="97" t="s">
        <v>293</v>
      </c>
      <c r="R128" s="97" t="s">
        <v>293</v>
      </c>
      <c r="S128" s="97" t="s">
        <v>395</v>
      </c>
      <c r="T128" s="97" t="s">
        <v>318</v>
      </c>
      <c r="U128" s="101">
        <v>0.8</v>
      </c>
      <c r="V128" s="10">
        <v>0.2</v>
      </c>
      <c r="W128" s="24"/>
      <c r="X128" s="66">
        <f t="shared" si="7"/>
        <v>800</v>
      </c>
      <c r="Z128" s="84">
        <f t="shared" si="4"/>
        <v>3200</v>
      </c>
    </row>
    <row r="129" spans="1:28" ht="49.5" customHeight="1" thickBot="1">
      <c r="A129" s="2">
        <v>128</v>
      </c>
      <c r="B129" s="99" t="s">
        <v>18</v>
      </c>
      <c r="C129" s="99" t="s">
        <v>57</v>
      </c>
      <c r="D129" s="53">
        <v>36</v>
      </c>
      <c r="E129" s="53" t="s">
        <v>318</v>
      </c>
      <c r="F129" s="53">
        <v>247</v>
      </c>
      <c r="G129" s="53" t="s">
        <v>319</v>
      </c>
      <c r="H129" s="99" t="s">
        <v>1227</v>
      </c>
      <c r="I129" s="99" t="s">
        <v>1228</v>
      </c>
      <c r="J129" s="99">
        <v>1176</v>
      </c>
      <c r="K129" s="99" t="s">
        <v>24</v>
      </c>
      <c r="L129" s="99" t="s">
        <v>25</v>
      </c>
      <c r="M129" s="99" t="s">
        <v>26</v>
      </c>
      <c r="N129" s="99" t="s">
        <v>26</v>
      </c>
      <c r="O129" s="99" t="s">
        <v>1226</v>
      </c>
      <c r="P129" s="99">
        <v>0</v>
      </c>
      <c r="Q129" s="99" t="s">
        <v>293</v>
      </c>
      <c r="R129" s="99" t="s">
        <v>293</v>
      </c>
      <c r="S129" s="99" t="s">
        <v>395</v>
      </c>
      <c r="T129" s="99" t="s">
        <v>1229</v>
      </c>
      <c r="U129" s="102">
        <v>0.7</v>
      </c>
      <c r="V129" s="63">
        <v>0.3</v>
      </c>
      <c r="W129" s="65"/>
      <c r="X129" s="67">
        <f t="shared" si="7"/>
        <v>352.8</v>
      </c>
      <c r="Z129" s="87">
        <f>J129-X129</f>
        <v>823.2</v>
      </c>
      <c r="AA129" s="70">
        <f>SUM(Z116:Z129)</f>
        <v>17333.600000000002</v>
      </c>
      <c r="AB129" s="93">
        <f>SUM(J116:J129)</f>
        <v>30750</v>
      </c>
    </row>
    <row r="130" spans="1:28" ht="49.5" customHeight="1">
      <c r="A130" s="2">
        <v>129</v>
      </c>
      <c r="B130" s="55" t="s">
        <v>18</v>
      </c>
      <c r="C130" s="55" t="s">
        <v>61</v>
      </c>
      <c r="D130" s="55">
        <v>11</v>
      </c>
      <c r="E130" s="55" t="s">
        <v>422</v>
      </c>
      <c r="F130" s="55">
        <v>103</v>
      </c>
      <c r="G130" s="55" t="s">
        <v>423</v>
      </c>
      <c r="H130" s="55" t="s">
        <v>424</v>
      </c>
      <c r="I130" s="55" t="s">
        <v>425</v>
      </c>
      <c r="J130" s="55">
        <v>650</v>
      </c>
      <c r="K130" s="55" t="s">
        <v>24</v>
      </c>
      <c r="L130" s="55" t="s">
        <v>176</v>
      </c>
      <c r="M130" s="55" t="s">
        <v>26</v>
      </c>
      <c r="N130" s="55" t="s">
        <v>26</v>
      </c>
      <c r="O130" s="55" t="s">
        <v>26</v>
      </c>
      <c r="P130" s="57">
        <v>130</v>
      </c>
      <c r="Q130" s="55" t="s">
        <v>35</v>
      </c>
      <c r="R130" s="55" t="s">
        <v>177</v>
      </c>
      <c r="S130" s="68" t="s">
        <v>426</v>
      </c>
      <c r="T130" s="55" t="s">
        <v>427</v>
      </c>
      <c r="U130" s="59">
        <v>0.7</v>
      </c>
      <c r="V130" s="60">
        <v>0.3</v>
      </c>
      <c r="W130" s="61"/>
      <c r="X130" s="82">
        <f t="shared" si="7"/>
        <v>195</v>
      </c>
      <c r="Z130" s="83">
        <f t="shared" ref="Z129:Z192" si="8">J130-X130</f>
        <v>455</v>
      </c>
    </row>
    <row r="131" spans="1:28" ht="49.5" customHeight="1">
      <c r="A131" s="2">
        <v>130</v>
      </c>
      <c r="B131" s="2" t="s">
        <v>18</v>
      </c>
      <c r="C131" s="2" t="s">
        <v>61</v>
      </c>
      <c r="D131" s="2">
        <v>11</v>
      </c>
      <c r="E131" s="2" t="s">
        <v>422</v>
      </c>
      <c r="F131" s="2">
        <v>105</v>
      </c>
      <c r="G131" s="2" t="s">
        <v>428</v>
      </c>
      <c r="H131" s="2" t="s">
        <v>429</v>
      </c>
      <c r="I131" s="2" t="s">
        <v>430</v>
      </c>
      <c r="J131" s="2">
        <v>400</v>
      </c>
      <c r="K131" s="2" t="s">
        <v>24</v>
      </c>
      <c r="L131" s="2" t="s">
        <v>176</v>
      </c>
      <c r="M131" s="2" t="s">
        <v>26</v>
      </c>
      <c r="N131" s="2" t="s">
        <v>26</v>
      </c>
      <c r="O131" s="2" t="s">
        <v>26</v>
      </c>
      <c r="P131" s="13">
        <v>80</v>
      </c>
      <c r="Q131" s="2" t="s">
        <v>35</v>
      </c>
      <c r="R131" s="2" t="s">
        <v>177</v>
      </c>
      <c r="S131" s="16" t="s">
        <v>431</v>
      </c>
      <c r="T131" s="2" t="s">
        <v>432</v>
      </c>
      <c r="U131" s="10">
        <v>0</v>
      </c>
      <c r="V131" s="52">
        <v>1</v>
      </c>
      <c r="W131" s="24"/>
      <c r="X131" s="66">
        <f t="shared" si="7"/>
        <v>400</v>
      </c>
      <c r="Z131" s="84">
        <f t="shared" si="8"/>
        <v>0</v>
      </c>
    </row>
    <row r="132" spans="1:28" ht="49.5" customHeight="1">
      <c r="A132" s="2">
        <v>131</v>
      </c>
      <c r="B132" s="2" t="s">
        <v>18</v>
      </c>
      <c r="C132" s="2" t="s">
        <v>61</v>
      </c>
      <c r="D132" s="2">
        <v>11</v>
      </c>
      <c r="E132" s="2" t="s">
        <v>422</v>
      </c>
      <c r="F132" s="2">
        <v>106</v>
      </c>
      <c r="G132" s="2" t="s">
        <v>433</v>
      </c>
      <c r="H132" s="2" t="s">
        <v>434</v>
      </c>
      <c r="I132" s="2" t="s">
        <v>435</v>
      </c>
      <c r="J132" s="2">
        <v>1000</v>
      </c>
      <c r="K132" s="2" t="s">
        <v>24</v>
      </c>
      <c r="L132" s="2" t="s">
        <v>176</v>
      </c>
      <c r="M132" s="2" t="s">
        <v>26</v>
      </c>
      <c r="N132" s="2" t="s">
        <v>26</v>
      </c>
      <c r="O132" s="2" t="s">
        <v>26</v>
      </c>
      <c r="P132" s="13">
        <v>80</v>
      </c>
      <c r="Q132" s="2" t="s">
        <v>35</v>
      </c>
      <c r="R132" s="2" t="s">
        <v>177</v>
      </c>
      <c r="S132" s="16" t="s">
        <v>426</v>
      </c>
      <c r="T132" s="2" t="s">
        <v>436</v>
      </c>
      <c r="U132" s="10">
        <v>0.8</v>
      </c>
      <c r="V132" s="52">
        <v>0.2</v>
      </c>
      <c r="W132" s="24"/>
      <c r="X132" s="66">
        <f t="shared" si="7"/>
        <v>200</v>
      </c>
      <c r="Z132" s="84">
        <f t="shared" si="8"/>
        <v>800</v>
      </c>
    </row>
    <row r="133" spans="1:28" ht="49.5" customHeight="1">
      <c r="A133" s="2">
        <v>132</v>
      </c>
      <c r="B133" s="2" t="s">
        <v>18</v>
      </c>
      <c r="C133" s="2" t="s">
        <v>61</v>
      </c>
      <c r="D133" s="2">
        <v>11</v>
      </c>
      <c r="E133" s="2" t="s">
        <v>422</v>
      </c>
      <c r="F133" s="2">
        <v>109</v>
      </c>
      <c r="G133" s="2" t="s">
        <v>437</v>
      </c>
      <c r="H133" s="2" t="s">
        <v>438</v>
      </c>
      <c r="I133" s="2" t="s">
        <v>439</v>
      </c>
      <c r="J133" s="2">
        <v>4000</v>
      </c>
      <c r="K133" s="2" t="s">
        <v>24</v>
      </c>
      <c r="L133" s="2" t="s">
        <v>25</v>
      </c>
      <c r="M133" s="2" t="s">
        <v>26</v>
      </c>
      <c r="N133" s="2" t="s">
        <v>26</v>
      </c>
      <c r="O133" s="2" t="s">
        <v>26</v>
      </c>
      <c r="P133" s="13">
        <v>80</v>
      </c>
      <c r="Q133" s="2" t="s">
        <v>35</v>
      </c>
      <c r="R133" s="2" t="s">
        <v>177</v>
      </c>
      <c r="S133" s="16" t="s">
        <v>440</v>
      </c>
      <c r="T133" s="2" t="s">
        <v>441</v>
      </c>
      <c r="U133" s="10">
        <v>0</v>
      </c>
      <c r="V133" s="52">
        <v>1</v>
      </c>
      <c r="W133" s="24"/>
      <c r="X133" s="66">
        <f t="shared" si="7"/>
        <v>4000</v>
      </c>
      <c r="Z133" s="84">
        <f t="shared" si="8"/>
        <v>0</v>
      </c>
    </row>
    <row r="134" spans="1:28" s="12" customFormat="1" ht="49.5" customHeight="1">
      <c r="A134" s="2">
        <v>133</v>
      </c>
      <c r="B134" s="2" t="s">
        <v>18</v>
      </c>
      <c r="C134" s="2" t="s">
        <v>61</v>
      </c>
      <c r="D134" s="2">
        <v>11</v>
      </c>
      <c r="E134" s="2" t="s">
        <v>422</v>
      </c>
      <c r="F134" s="2">
        <v>109</v>
      </c>
      <c r="G134" s="2" t="s">
        <v>437</v>
      </c>
      <c r="H134" s="2" t="s">
        <v>442</v>
      </c>
      <c r="I134" s="2" t="s">
        <v>443</v>
      </c>
      <c r="J134" s="2">
        <v>3500</v>
      </c>
      <c r="K134" s="2" t="s">
        <v>24</v>
      </c>
      <c r="L134" s="2" t="s">
        <v>176</v>
      </c>
      <c r="M134" s="2" t="s">
        <v>26</v>
      </c>
      <c r="N134" s="2" t="s">
        <v>26</v>
      </c>
      <c r="O134" s="2" t="s">
        <v>26</v>
      </c>
      <c r="P134" s="13">
        <v>150</v>
      </c>
      <c r="Q134" s="2" t="s">
        <v>35</v>
      </c>
      <c r="R134" s="2" t="s">
        <v>177</v>
      </c>
      <c r="S134" s="16" t="s">
        <v>1269</v>
      </c>
      <c r="T134" s="2" t="s">
        <v>444</v>
      </c>
      <c r="U134" s="10">
        <v>0.1</v>
      </c>
      <c r="V134" s="52">
        <v>0.9</v>
      </c>
      <c r="W134" s="24"/>
      <c r="X134" s="66">
        <f t="shared" si="7"/>
        <v>3150</v>
      </c>
      <c r="Y134" s="25"/>
      <c r="Z134" s="84">
        <f t="shared" si="8"/>
        <v>350</v>
      </c>
      <c r="AA134" s="24"/>
    </row>
    <row r="135" spans="1:28" ht="49.5" customHeight="1">
      <c r="A135" s="2">
        <v>134</v>
      </c>
      <c r="B135" s="2" t="s">
        <v>18</v>
      </c>
      <c r="C135" s="2" t="s">
        <v>61</v>
      </c>
      <c r="D135" s="2">
        <v>11</v>
      </c>
      <c r="E135" s="2" t="s">
        <v>422</v>
      </c>
      <c r="F135" s="2">
        <v>109</v>
      </c>
      <c r="G135" s="2" t="s">
        <v>437</v>
      </c>
      <c r="H135" s="2" t="s">
        <v>445</v>
      </c>
      <c r="I135" s="2" t="s">
        <v>446</v>
      </c>
      <c r="J135" s="2">
        <v>1026</v>
      </c>
      <c r="K135" s="2" t="s">
        <v>24</v>
      </c>
      <c r="L135" s="2" t="s">
        <v>25</v>
      </c>
      <c r="M135" s="2" t="s">
        <v>26</v>
      </c>
      <c r="N135" s="2" t="s">
        <v>26</v>
      </c>
      <c r="O135" s="2" t="s">
        <v>26</v>
      </c>
      <c r="P135" s="13">
        <v>150</v>
      </c>
      <c r="Q135" s="2" t="s">
        <v>35</v>
      </c>
      <c r="R135" s="2" t="s">
        <v>177</v>
      </c>
      <c r="S135" s="16" t="s">
        <v>1269</v>
      </c>
      <c r="T135" s="2" t="s">
        <v>447</v>
      </c>
      <c r="U135" s="10">
        <v>0</v>
      </c>
      <c r="V135" s="52">
        <v>1</v>
      </c>
      <c r="W135" s="25"/>
      <c r="X135" s="66">
        <f t="shared" si="7"/>
        <v>1026</v>
      </c>
      <c r="Z135" s="84">
        <f t="shared" si="8"/>
        <v>0</v>
      </c>
    </row>
    <row r="136" spans="1:28" ht="49.5" customHeight="1">
      <c r="A136" s="2">
        <v>135</v>
      </c>
      <c r="B136" s="2" t="s">
        <v>18</v>
      </c>
      <c r="C136" s="2" t="s">
        <v>61</v>
      </c>
      <c r="D136" s="2">
        <v>11</v>
      </c>
      <c r="E136" s="2" t="s">
        <v>422</v>
      </c>
      <c r="F136" s="2">
        <v>110</v>
      </c>
      <c r="G136" s="2" t="s">
        <v>448</v>
      </c>
      <c r="H136" s="2" t="s">
        <v>449</v>
      </c>
      <c r="I136" s="2" t="s">
        <v>450</v>
      </c>
      <c r="J136" s="2">
        <v>1000</v>
      </c>
      <c r="K136" s="2" t="s">
        <v>24</v>
      </c>
      <c r="L136" s="2" t="s">
        <v>25</v>
      </c>
      <c r="M136" s="2" t="s">
        <v>26</v>
      </c>
      <c r="N136" s="2" t="s">
        <v>26</v>
      </c>
      <c r="O136" s="2" t="s">
        <v>26</v>
      </c>
      <c r="P136" s="13">
        <v>70</v>
      </c>
      <c r="Q136" s="2" t="s">
        <v>35</v>
      </c>
      <c r="R136" s="2" t="s">
        <v>177</v>
      </c>
      <c r="S136" s="16" t="s">
        <v>451</v>
      </c>
      <c r="T136" s="2" t="s">
        <v>452</v>
      </c>
      <c r="U136" s="10">
        <v>0</v>
      </c>
      <c r="V136" s="52">
        <v>1</v>
      </c>
      <c r="W136" s="24"/>
      <c r="X136" s="66">
        <f t="shared" si="7"/>
        <v>1000</v>
      </c>
      <c r="Z136" s="84">
        <f t="shared" si="8"/>
        <v>0</v>
      </c>
      <c r="AA136" s="25"/>
    </row>
    <row r="137" spans="1:28" ht="49.5" customHeight="1">
      <c r="A137" s="2">
        <v>136</v>
      </c>
      <c r="B137" s="2" t="s">
        <v>18</v>
      </c>
      <c r="C137" s="2" t="s">
        <v>61</v>
      </c>
      <c r="D137" s="2">
        <v>11</v>
      </c>
      <c r="E137" s="2" t="s">
        <v>422</v>
      </c>
      <c r="F137" s="2">
        <v>110</v>
      </c>
      <c r="G137" s="2" t="s">
        <v>448</v>
      </c>
      <c r="H137" s="2" t="s">
        <v>453</v>
      </c>
      <c r="I137" s="2" t="s">
        <v>454</v>
      </c>
      <c r="J137" s="2">
        <v>600</v>
      </c>
      <c r="K137" s="2" t="s">
        <v>24</v>
      </c>
      <c r="L137" s="2" t="s">
        <v>176</v>
      </c>
      <c r="M137" s="2" t="s">
        <v>26</v>
      </c>
      <c r="N137" s="2" t="s">
        <v>26</v>
      </c>
      <c r="O137" s="2" t="s">
        <v>26</v>
      </c>
      <c r="P137" s="13">
        <v>80</v>
      </c>
      <c r="Q137" s="2" t="s">
        <v>35</v>
      </c>
      <c r="R137" s="2" t="s">
        <v>177</v>
      </c>
      <c r="S137" s="16" t="s">
        <v>431</v>
      </c>
      <c r="T137" s="2" t="s">
        <v>455</v>
      </c>
      <c r="U137" s="10">
        <v>0</v>
      </c>
      <c r="V137" s="52">
        <v>1</v>
      </c>
      <c r="W137" s="24"/>
      <c r="X137" s="66">
        <f t="shared" si="7"/>
        <v>600</v>
      </c>
      <c r="Z137" s="84">
        <f t="shared" si="8"/>
        <v>0</v>
      </c>
    </row>
    <row r="138" spans="1:28" ht="49.5" customHeight="1">
      <c r="A138" s="2">
        <v>137</v>
      </c>
      <c r="B138" s="2" t="s">
        <v>18</v>
      </c>
      <c r="C138" s="2" t="s">
        <v>61</v>
      </c>
      <c r="D138" s="2">
        <v>11</v>
      </c>
      <c r="E138" s="2" t="s">
        <v>422</v>
      </c>
      <c r="F138" s="2">
        <v>110</v>
      </c>
      <c r="G138" s="2" t="s">
        <v>448</v>
      </c>
      <c r="H138" s="2" t="s">
        <v>456</v>
      </c>
      <c r="I138" s="2" t="s">
        <v>457</v>
      </c>
      <c r="J138" s="2">
        <v>2500</v>
      </c>
      <c r="K138" s="2" t="s">
        <v>24</v>
      </c>
      <c r="L138" s="2" t="s">
        <v>176</v>
      </c>
      <c r="M138" s="2" t="s">
        <v>26</v>
      </c>
      <c r="N138" s="2" t="s">
        <v>26</v>
      </c>
      <c r="O138" s="2" t="s">
        <v>26</v>
      </c>
      <c r="P138" s="13">
        <v>80</v>
      </c>
      <c r="Q138" s="2" t="s">
        <v>35</v>
      </c>
      <c r="R138" s="2" t="s">
        <v>177</v>
      </c>
      <c r="S138" s="16" t="s">
        <v>431</v>
      </c>
      <c r="T138" s="2" t="s">
        <v>458</v>
      </c>
      <c r="U138" s="10">
        <v>0.8</v>
      </c>
      <c r="V138" s="52">
        <v>0.2</v>
      </c>
      <c r="W138" s="24"/>
      <c r="X138" s="66">
        <f t="shared" si="7"/>
        <v>500</v>
      </c>
      <c r="Z138" s="84">
        <f t="shared" si="8"/>
        <v>2000</v>
      </c>
    </row>
    <row r="139" spans="1:28" ht="49.5" customHeight="1">
      <c r="A139" s="2">
        <v>138</v>
      </c>
      <c r="B139" s="2" t="s">
        <v>18</v>
      </c>
      <c r="C139" s="2" t="s">
        <v>61</v>
      </c>
      <c r="D139" s="2">
        <v>13</v>
      </c>
      <c r="E139" s="2" t="s">
        <v>459</v>
      </c>
      <c r="F139" s="2">
        <v>101</v>
      </c>
      <c r="G139" s="2" t="s">
        <v>460</v>
      </c>
      <c r="H139" s="2" t="s">
        <v>461</v>
      </c>
      <c r="I139" s="2" t="s">
        <v>462</v>
      </c>
      <c r="J139" s="2">
        <v>700</v>
      </c>
      <c r="K139" s="2" t="s">
        <v>24</v>
      </c>
      <c r="L139" s="2" t="s">
        <v>25</v>
      </c>
      <c r="M139" s="2" t="s">
        <v>26</v>
      </c>
      <c r="N139" s="2" t="s">
        <v>26</v>
      </c>
      <c r="O139" s="2" t="s">
        <v>26</v>
      </c>
      <c r="P139" s="13">
        <v>70</v>
      </c>
      <c r="Q139" s="2" t="s">
        <v>35</v>
      </c>
      <c r="R139" s="2" t="s">
        <v>177</v>
      </c>
      <c r="S139" s="16" t="s">
        <v>426</v>
      </c>
      <c r="T139" s="2" t="s">
        <v>463</v>
      </c>
      <c r="U139" s="10">
        <v>1</v>
      </c>
      <c r="V139" s="52">
        <v>0</v>
      </c>
      <c r="W139" s="24"/>
      <c r="X139" s="66">
        <f t="shared" si="7"/>
        <v>0</v>
      </c>
      <c r="Z139" s="84">
        <f t="shared" si="8"/>
        <v>700</v>
      </c>
    </row>
    <row r="140" spans="1:28" ht="49.5" customHeight="1">
      <c r="A140" s="2">
        <v>139</v>
      </c>
      <c r="B140" s="2" t="s">
        <v>18</v>
      </c>
      <c r="C140" s="2" t="s">
        <v>61</v>
      </c>
      <c r="D140" s="2">
        <v>13</v>
      </c>
      <c r="E140" s="2" t="s">
        <v>459</v>
      </c>
      <c r="F140" s="2">
        <v>129</v>
      </c>
      <c r="G140" s="2" t="s">
        <v>464</v>
      </c>
      <c r="H140" s="2" t="s">
        <v>465</v>
      </c>
      <c r="I140" s="2">
        <v>119</v>
      </c>
      <c r="J140" s="2">
        <v>250</v>
      </c>
      <c r="K140" s="2" t="s">
        <v>89</v>
      </c>
      <c r="L140" s="2" t="s">
        <v>25</v>
      </c>
      <c r="M140" s="2" t="s">
        <v>26</v>
      </c>
      <c r="N140" s="2" t="s">
        <v>26</v>
      </c>
      <c r="O140" s="2" t="s">
        <v>26</v>
      </c>
      <c r="P140" s="13">
        <v>80</v>
      </c>
      <c r="Q140" s="2" t="s">
        <v>35</v>
      </c>
      <c r="R140" s="2" t="s">
        <v>177</v>
      </c>
      <c r="S140" s="16" t="s">
        <v>426</v>
      </c>
      <c r="T140" s="2" t="s">
        <v>466</v>
      </c>
      <c r="U140" s="10">
        <v>0</v>
      </c>
      <c r="V140" s="52">
        <v>1</v>
      </c>
      <c r="W140" s="24"/>
      <c r="X140" s="66">
        <f t="shared" si="7"/>
        <v>250</v>
      </c>
      <c r="Z140" s="84">
        <f t="shared" si="8"/>
        <v>0</v>
      </c>
    </row>
    <row r="141" spans="1:28" ht="49.5" customHeight="1">
      <c r="A141" s="2">
        <v>140</v>
      </c>
      <c r="B141" s="2" t="s">
        <v>18</v>
      </c>
      <c r="C141" s="2" t="s">
        <v>61</v>
      </c>
      <c r="D141" s="2">
        <v>11</v>
      </c>
      <c r="E141" s="2" t="s">
        <v>422</v>
      </c>
      <c r="F141" s="2">
        <v>101</v>
      </c>
      <c r="G141" s="2" t="s">
        <v>460</v>
      </c>
      <c r="H141" s="2" t="s">
        <v>467</v>
      </c>
      <c r="I141" s="2" t="s">
        <v>468</v>
      </c>
      <c r="J141" s="2">
        <v>3600</v>
      </c>
      <c r="K141" s="2" t="s">
        <v>24</v>
      </c>
      <c r="L141" s="2" t="s">
        <v>82</v>
      </c>
      <c r="M141" s="2" t="s">
        <v>26</v>
      </c>
      <c r="N141" s="2" t="s">
        <v>26</v>
      </c>
      <c r="O141" s="2" t="s">
        <v>26</v>
      </c>
      <c r="P141" s="13"/>
      <c r="Q141" s="2" t="s">
        <v>469</v>
      </c>
      <c r="R141" s="2" t="s">
        <v>177</v>
      </c>
      <c r="S141" s="72" t="s">
        <v>451</v>
      </c>
      <c r="T141" s="2" t="s">
        <v>1270</v>
      </c>
      <c r="U141" s="10">
        <v>1</v>
      </c>
      <c r="V141" s="52">
        <v>0</v>
      </c>
      <c r="W141" s="24"/>
      <c r="X141" s="66">
        <f t="shared" si="7"/>
        <v>0</v>
      </c>
      <c r="Z141" s="84">
        <f t="shared" si="8"/>
        <v>3600</v>
      </c>
    </row>
    <row r="142" spans="1:28" ht="49.5" customHeight="1">
      <c r="A142" s="2">
        <v>141</v>
      </c>
      <c r="B142" s="2" t="s">
        <v>18</v>
      </c>
      <c r="C142" s="2" t="s">
        <v>61</v>
      </c>
      <c r="D142" s="2">
        <v>11</v>
      </c>
      <c r="E142" s="2" t="s">
        <v>422</v>
      </c>
      <c r="F142" s="2">
        <v>109</v>
      </c>
      <c r="G142" s="2" t="s">
        <v>437</v>
      </c>
      <c r="H142" s="14" t="s">
        <v>470</v>
      </c>
      <c r="I142" s="2" t="s">
        <v>471</v>
      </c>
      <c r="J142" s="2">
        <v>3000</v>
      </c>
      <c r="K142" s="2" t="s">
        <v>24</v>
      </c>
      <c r="L142" s="2" t="s">
        <v>176</v>
      </c>
      <c r="M142" s="2" t="s">
        <v>26</v>
      </c>
      <c r="N142" s="2" t="s">
        <v>26</v>
      </c>
      <c r="O142" s="2" t="s">
        <v>26</v>
      </c>
      <c r="P142" s="13">
        <v>80</v>
      </c>
      <c r="Q142" s="2" t="s">
        <v>35</v>
      </c>
      <c r="R142" s="2" t="s">
        <v>177</v>
      </c>
      <c r="S142" s="16" t="s">
        <v>451</v>
      </c>
      <c r="T142" s="2" t="s">
        <v>472</v>
      </c>
      <c r="U142" s="10">
        <v>0</v>
      </c>
      <c r="V142" s="52">
        <v>1</v>
      </c>
      <c r="W142" s="24"/>
      <c r="X142" s="66">
        <f t="shared" si="7"/>
        <v>3000</v>
      </c>
      <c r="Z142" s="84">
        <f t="shared" si="8"/>
        <v>0</v>
      </c>
    </row>
    <row r="143" spans="1:28" ht="49.5" customHeight="1">
      <c r="A143" s="2">
        <v>142</v>
      </c>
      <c r="B143" s="2" t="s">
        <v>18</v>
      </c>
      <c r="C143" s="2" t="s">
        <v>61</v>
      </c>
      <c r="D143" s="2">
        <v>11</v>
      </c>
      <c r="E143" s="2" t="s">
        <v>422</v>
      </c>
      <c r="F143" s="2">
        <v>109</v>
      </c>
      <c r="G143" s="2" t="s">
        <v>437</v>
      </c>
      <c r="H143" s="2" t="s">
        <v>473</v>
      </c>
      <c r="I143" s="2" t="s">
        <v>474</v>
      </c>
      <c r="J143" s="2">
        <v>2000</v>
      </c>
      <c r="K143" s="2" t="s">
        <v>24</v>
      </c>
      <c r="L143" s="2" t="s">
        <v>25</v>
      </c>
      <c r="M143" s="2" t="s">
        <v>26</v>
      </c>
      <c r="N143" s="2" t="s">
        <v>26</v>
      </c>
      <c r="O143" s="2" t="s">
        <v>26</v>
      </c>
      <c r="P143" s="13">
        <v>150</v>
      </c>
      <c r="Q143" s="2" t="s">
        <v>35</v>
      </c>
      <c r="R143" s="2" t="s">
        <v>177</v>
      </c>
      <c r="S143" s="16" t="s">
        <v>451</v>
      </c>
      <c r="T143" s="2" t="s">
        <v>475</v>
      </c>
      <c r="U143" s="10">
        <v>0</v>
      </c>
      <c r="V143" s="52">
        <v>1</v>
      </c>
      <c r="W143" s="24"/>
      <c r="X143" s="66">
        <f t="shared" si="7"/>
        <v>2000</v>
      </c>
      <c r="Z143" s="84">
        <f t="shared" si="8"/>
        <v>0</v>
      </c>
    </row>
    <row r="144" spans="1:28" ht="49.5" customHeight="1">
      <c r="A144" s="2">
        <v>143</v>
      </c>
      <c r="B144" s="2" t="s">
        <v>18</v>
      </c>
      <c r="C144" s="2" t="s">
        <v>61</v>
      </c>
      <c r="D144" s="2">
        <v>11</v>
      </c>
      <c r="E144" s="2" t="s">
        <v>422</v>
      </c>
      <c r="F144" s="2">
        <v>109</v>
      </c>
      <c r="G144" s="2" t="s">
        <v>437</v>
      </c>
      <c r="H144" s="14" t="s">
        <v>476</v>
      </c>
      <c r="I144" s="2" t="s">
        <v>477</v>
      </c>
      <c r="J144" s="14">
        <v>900</v>
      </c>
      <c r="K144" s="2" t="s">
        <v>24</v>
      </c>
      <c r="L144" s="2" t="s">
        <v>176</v>
      </c>
      <c r="M144" s="2" t="s">
        <v>26</v>
      </c>
      <c r="N144" s="2" t="s">
        <v>26</v>
      </c>
      <c r="O144" s="2" t="s">
        <v>26</v>
      </c>
      <c r="P144" s="13">
        <v>70</v>
      </c>
      <c r="Q144" s="2" t="s">
        <v>35</v>
      </c>
      <c r="R144" s="2" t="s">
        <v>177</v>
      </c>
      <c r="S144" s="15" t="s">
        <v>451</v>
      </c>
      <c r="T144" s="2" t="s">
        <v>478</v>
      </c>
      <c r="U144" s="10">
        <v>0</v>
      </c>
      <c r="V144" s="52">
        <v>1</v>
      </c>
      <c r="W144" s="24"/>
      <c r="X144" s="66">
        <f t="shared" si="7"/>
        <v>900</v>
      </c>
      <c r="Z144" s="84">
        <f t="shared" si="8"/>
        <v>0</v>
      </c>
    </row>
    <row r="145" spans="1:27" ht="49.5" customHeight="1">
      <c r="A145" s="2">
        <v>144</v>
      </c>
      <c r="B145" s="2" t="s">
        <v>18</v>
      </c>
      <c r="C145" s="2" t="s">
        <v>61</v>
      </c>
      <c r="D145" s="2">
        <v>11</v>
      </c>
      <c r="E145" s="2" t="s">
        <v>422</v>
      </c>
      <c r="F145" s="2">
        <v>109</v>
      </c>
      <c r="G145" s="2" t="s">
        <v>437</v>
      </c>
      <c r="H145" s="2" t="s">
        <v>479</v>
      </c>
      <c r="I145" s="2" t="s">
        <v>480</v>
      </c>
      <c r="J145" s="2">
        <v>3500</v>
      </c>
      <c r="K145" s="2" t="s">
        <v>89</v>
      </c>
      <c r="L145" s="2" t="s">
        <v>176</v>
      </c>
      <c r="M145" s="2" t="s">
        <v>26</v>
      </c>
      <c r="N145" s="2" t="s">
        <v>26</v>
      </c>
      <c r="O145" s="2" t="s">
        <v>26</v>
      </c>
      <c r="P145" s="13">
        <v>130</v>
      </c>
      <c r="Q145" s="2" t="s">
        <v>35</v>
      </c>
      <c r="R145" s="2" t="s">
        <v>177</v>
      </c>
      <c r="S145" s="16" t="s">
        <v>451</v>
      </c>
      <c r="T145" s="2" t="s">
        <v>481</v>
      </c>
      <c r="U145" s="10">
        <v>0</v>
      </c>
      <c r="V145" s="52">
        <v>1</v>
      </c>
      <c r="W145" s="25"/>
      <c r="X145" s="66">
        <f t="shared" si="7"/>
        <v>3500</v>
      </c>
      <c r="Z145" s="84">
        <f t="shared" si="8"/>
        <v>0</v>
      </c>
    </row>
    <row r="146" spans="1:27" ht="49.5" customHeight="1">
      <c r="A146" s="2">
        <v>145</v>
      </c>
      <c r="B146" s="2" t="s">
        <v>18</v>
      </c>
      <c r="C146" s="2" t="s">
        <v>61</v>
      </c>
      <c r="D146" s="2">
        <v>11</v>
      </c>
      <c r="E146" s="2" t="s">
        <v>422</v>
      </c>
      <c r="F146" s="2">
        <v>109</v>
      </c>
      <c r="G146" s="2" t="s">
        <v>437</v>
      </c>
      <c r="H146" s="2" t="s">
        <v>482</v>
      </c>
      <c r="I146" s="2" t="s">
        <v>483</v>
      </c>
      <c r="J146" s="2">
        <v>7500</v>
      </c>
      <c r="K146" s="2" t="s">
        <v>24</v>
      </c>
      <c r="L146" s="2" t="s">
        <v>82</v>
      </c>
      <c r="M146" s="2" t="s">
        <v>26</v>
      </c>
      <c r="N146" s="2" t="s">
        <v>26</v>
      </c>
      <c r="O146" s="2" t="s">
        <v>26</v>
      </c>
      <c r="P146" s="13">
        <v>150</v>
      </c>
      <c r="Q146" s="2" t="s">
        <v>35</v>
      </c>
      <c r="R146" s="2" t="s">
        <v>177</v>
      </c>
      <c r="S146" s="16" t="s">
        <v>1269</v>
      </c>
      <c r="T146" s="2" t="s">
        <v>484</v>
      </c>
      <c r="U146" s="10">
        <v>0</v>
      </c>
      <c r="V146" s="52">
        <v>1</v>
      </c>
      <c r="W146" s="24"/>
      <c r="X146" s="66">
        <f t="shared" si="7"/>
        <v>7500</v>
      </c>
      <c r="Z146" s="84">
        <f t="shared" si="8"/>
        <v>0</v>
      </c>
      <c r="AA146" s="25"/>
    </row>
    <row r="147" spans="1:27" ht="49.5" customHeight="1">
      <c r="A147" s="2">
        <v>146</v>
      </c>
      <c r="B147" s="2" t="s">
        <v>18</v>
      </c>
      <c r="C147" s="2" t="s">
        <v>61</v>
      </c>
      <c r="D147" s="2">
        <v>11</v>
      </c>
      <c r="E147" s="2" t="s">
        <v>422</v>
      </c>
      <c r="F147" s="2">
        <v>111</v>
      </c>
      <c r="G147" s="2" t="s">
        <v>485</v>
      </c>
      <c r="H147" s="14" t="s">
        <v>486</v>
      </c>
      <c r="I147" s="2" t="s">
        <v>487</v>
      </c>
      <c r="J147" s="2">
        <v>2000</v>
      </c>
      <c r="K147" s="2" t="s">
        <v>24</v>
      </c>
      <c r="L147" s="2" t="s">
        <v>176</v>
      </c>
      <c r="M147" s="2" t="s">
        <v>26</v>
      </c>
      <c r="N147" s="2" t="s">
        <v>26</v>
      </c>
      <c r="O147" s="2" t="s">
        <v>26</v>
      </c>
      <c r="P147" s="13">
        <v>70</v>
      </c>
      <c r="Q147" s="2" t="s">
        <v>35</v>
      </c>
      <c r="R147" s="2" t="s">
        <v>177</v>
      </c>
      <c r="S147" s="16" t="s">
        <v>451</v>
      </c>
      <c r="T147" s="2" t="s">
        <v>488</v>
      </c>
      <c r="U147" s="10">
        <v>0.5</v>
      </c>
      <c r="V147" s="52">
        <v>0.5</v>
      </c>
      <c r="W147" s="24"/>
      <c r="X147" s="66">
        <f t="shared" si="7"/>
        <v>1000</v>
      </c>
      <c r="Z147" s="84">
        <f t="shared" si="8"/>
        <v>1000</v>
      </c>
    </row>
    <row r="148" spans="1:27" s="12" customFormat="1" ht="49.5" customHeight="1">
      <c r="A148" s="2">
        <v>147</v>
      </c>
      <c r="B148" s="2" t="s">
        <v>18</v>
      </c>
      <c r="C148" s="2" t="s">
        <v>61</v>
      </c>
      <c r="D148" s="2">
        <v>13</v>
      </c>
      <c r="E148" s="2" t="s">
        <v>459</v>
      </c>
      <c r="F148" s="2">
        <v>129</v>
      </c>
      <c r="G148" s="2" t="s">
        <v>464</v>
      </c>
      <c r="H148" s="2" t="s">
        <v>465</v>
      </c>
      <c r="I148" s="2" t="s">
        <v>1271</v>
      </c>
      <c r="J148" s="2">
        <v>350</v>
      </c>
      <c r="K148" s="2" t="s">
        <v>24</v>
      </c>
      <c r="L148" s="2" t="s">
        <v>25</v>
      </c>
      <c r="M148" s="2" t="s">
        <v>26</v>
      </c>
      <c r="N148" s="2" t="s">
        <v>26</v>
      </c>
      <c r="O148" s="2" t="s">
        <v>26</v>
      </c>
      <c r="P148" s="13">
        <v>80</v>
      </c>
      <c r="Q148" s="2" t="s">
        <v>35</v>
      </c>
      <c r="R148" s="2" t="s">
        <v>177</v>
      </c>
      <c r="S148" s="16" t="s">
        <v>426</v>
      </c>
      <c r="T148" s="2" t="s">
        <v>466</v>
      </c>
      <c r="U148" s="10">
        <v>0.2</v>
      </c>
      <c r="V148" s="52">
        <v>0.8</v>
      </c>
      <c r="W148" s="24"/>
      <c r="X148" s="66">
        <f t="shared" si="7"/>
        <v>280</v>
      </c>
      <c r="Y148" s="25"/>
      <c r="Z148" s="84">
        <f t="shared" si="8"/>
        <v>70</v>
      </c>
      <c r="AA148" s="24"/>
    </row>
    <row r="149" spans="1:27" ht="49.5" customHeight="1">
      <c r="A149" s="2">
        <v>148</v>
      </c>
      <c r="B149" s="2" t="s">
        <v>297</v>
      </c>
      <c r="C149" s="2" t="s">
        <v>61</v>
      </c>
      <c r="D149" s="2">
        <v>11</v>
      </c>
      <c r="E149" s="2" t="s">
        <v>422</v>
      </c>
      <c r="F149" s="2">
        <v>103</v>
      </c>
      <c r="G149" s="2" t="s">
        <v>423</v>
      </c>
      <c r="H149" s="2" t="s">
        <v>489</v>
      </c>
      <c r="I149" s="2" t="s">
        <v>490</v>
      </c>
      <c r="J149" s="17">
        <v>2600</v>
      </c>
      <c r="K149" s="2" t="s">
        <v>89</v>
      </c>
      <c r="L149" s="2" t="s">
        <v>82</v>
      </c>
      <c r="M149" s="2" t="s">
        <v>26</v>
      </c>
      <c r="N149" s="2" t="s">
        <v>26</v>
      </c>
      <c r="O149" s="2" t="s">
        <v>26</v>
      </c>
      <c r="P149" s="2" t="s">
        <v>298</v>
      </c>
      <c r="Q149" s="2" t="s">
        <v>491</v>
      </c>
      <c r="R149" s="2" t="s">
        <v>492</v>
      </c>
      <c r="S149" s="19" t="s">
        <v>493</v>
      </c>
      <c r="T149" s="2" t="s">
        <v>1251</v>
      </c>
      <c r="U149" s="10">
        <v>0</v>
      </c>
      <c r="V149" s="52">
        <v>1</v>
      </c>
      <c r="W149" s="24"/>
      <c r="X149" s="66">
        <f t="shared" si="7"/>
        <v>2600</v>
      </c>
      <c r="Z149" s="84">
        <f t="shared" si="8"/>
        <v>0</v>
      </c>
    </row>
    <row r="150" spans="1:27" ht="49.5" customHeight="1">
      <c r="A150" s="2">
        <v>149</v>
      </c>
      <c r="B150" s="2" t="s">
        <v>1310</v>
      </c>
      <c r="C150" s="2" t="s">
        <v>61</v>
      </c>
      <c r="D150" s="2">
        <v>11</v>
      </c>
      <c r="E150" s="2" t="s">
        <v>422</v>
      </c>
      <c r="F150" s="2">
        <v>103</v>
      </c>
      <c r="G150" s="2" t="s">
        <v>423</v>
      </c>
      <c r="H150" s="2" t="s">
        <v>495</v>
      </c>
      <c r="I150" s="2" t="s">
        <v>496</v>
      </c>
      <c r="J150" s="17">
        <v>4300</v>
      </c>
      <c r="K150" s="17" t="s">
        <v>24</v>
      </c>
      <c r="L150" s="17" t="s">
        <v>176</v>
      </c>
      <c r="M150" s="17" t="s">
        <v>26</v>
      </c>
      <c r="N150" s="17" t="s">
        <v>26</v>
      </c>
      <c r="O150" s="17" t="s">
        <v>26</v>
      </c>
      <c r="P150" s="13">
        <v>20</v>
      </c>
      <c r="Q150" s="17" t="s">
        <v>35</v>
      </c>
      <c r="R150" s="2" t="s">
        <v>497</v>
      </c>
      <c r="S150" s="2" t="s">
        <v>498</v>
      </c>
      <c r="T150" s="2" t="s">
        <v>499</v>
      </c>
      <c r="U150" s="10">
        <v>1</v>
      </c>
      <c r="V150" s="52">
        <v>0</v>
      </c>
      <c r="W150" s="24"/>
      <c r="X150" s="66">
        <f t="shared" si="7"/>
        <v>0</v>
      </c>
      <c r="Z150" s="84">
        <f t="shared" si="8"/>
        <v>4300</v>
      </c>
    </row>
    <row r="151" spans="1:27" ht="49.5" customHeight="1">
      <c r="A151" s="2">
        <v>150</v>
      </c>
      <c r="B151" s="2" t="s">
        <v>1310</v>
      </c>
      <c r="C151" s="2" t="s">
        <v>61</v>
      </c>
      <c r="D151" s="2">
        <v>11</v>
      </c>
      <c r="E151" s="2" t="s">
        <v>422</v>
      </c>
      <c r="F151" s="2">
        <v>103</v>
      </c>
      <c r="G151" s="2" t="s">
        <v>423</v>
      </c>
      <c r="H151" s="2" t="s">
        <v>500</v>
      </c>
      <c r="I151" s="2" t="s">
        <v>501</v>
      </c>
      <c r="J151" s="17">
        <v>3000</v>
      </c>
      <c r="K151" s="17" t="s">
        <v>24</v>
      </c>
      <c r="L151" s="17" t="s">
        <v>176</v>
      </c>
      <c r="M151" s="17" t="s">
        <v>26</v>
      </c>
      <c r="N151" s="17" t="s">
        <v>26</v>
      </c>
      <c r="O151" s="17" t="s">
        <v>26</v>
      </c>
      <c r="P151" s="13">
        <v>20</v>
      </c>
      <c r="Q151" s="17" t="s">
        <v>35</v>
      </c>
      <c r="R151" s="2" t="s">
        <v>497</v>
      </c>
      <c r="S151" s="2" t="s">
        <v>502</v>
      </c>
      <c r="T151" s="2" t="s">
        <v>503</v>
      </c>
      <c r="U151" s="10">
        <v>1</v>
      </c>
      <c r="V151" s="52">
        <v>0</v>
      </c>
      <c r="W151" s="24"/>
      <c r="X151" s="66">
        <f t="shared" si="7"/>
        <v>0</v>
      </c>
      <c r="Z151" s="84">
        <f t="shared" si="8"/>
        <v>3000</v>
      </c>
    </row>
    <row r="152" spans="1:27" ht="49.5" customHeight="1">
      <c r="A152" s="2">
        <v>151</v>
      </c>
      <c r="B152" s="2" t="s">
        <v>1310</v>
      </c>
      <c r="C152" s="2" t="s">
        <v>61</v>
      </c>
      <c r="D152" s="2">
        <v>11</v>
      </c>
      <c r="E152" s="2" t="s">
        <v>422</v>
      </c>
      <c r="F152" s="2">
        <v>105</v>
      </c>
      <c r="G152" s="2" t="s">
        <v>428</v>
      </c>
      <c r="H152" s="2" t="s">
        <v>504</v>
      </c>
      <c r="I152" s="2" t="s">
        <v>505</v>
      </c>
      <c r="J152" s="17">
        <v>300</v>
      </c>
      <c r="K152" s="17" t="s">
        <v>24</v>
      </c>
      <c r="L152" s="17" t="s">
        <v>176</v>
      </c>
      <c r="M152" s="17" t="s">
        <v>26</v>
      </c>
      <c r="N152" s="17" t="s">
        <v>26</v>
      </c>
      <c r="O152" s="17" t="s">
        <v>26</v>
      </c>
      <c r="P152" s="13">
        <v>20</v>
      </c>
      <c r="Q152" s="17" t="s">
        <v>35</v>
      </c>
      <c r="R152" s="2" t="s">
        <v>506</v>
      </c>
      <c r="S152" s="2" t="s">
        <v>507</v>
      </c>
      <c r="T152" s="2" t="s">
        <v>508</v>
      </c>
      <c r="U152" s="10">
        <v>0</v>
      </c>
      <c r="V152" s="52">
        <v>1</v>
      </c>
      <c r="W152" s="24"/>
      <c r="X152" s="66">
        <f t="shared" si="7"/>
        <v>300</v>
      </c>
      <c r="Z152" s="84">
        <f t="shared" si="8"/>
        <v>0</v>
      </c>
    </row>
    <row r="153" spans="1:27" ht="49.5" customHeight="1">
      <c r="A153" s="2">
        <v>152</v>
      </c>
      <c r="B153" s="2" t="s">
        <v>1310</v>
      </c>
      <c r="C153" s="2" t="s">
        <v>61</v>
      </c>
      <c r="D153" s="2">
        <v>11</v>
      </c>
      <c r="E153" s="2" t="s">
        <v>422</v>
      </c>
      <c r="F153" s="2">
        <v>105</v>
      </c>
      <c r="G153" s="2" t="s">
        <v>428</v>
      </c>
      <c r="H153" s="2" t="s">
        <v>509</v>
      </c>
      <c r="I153" s="2" t="s">
        <v>510</v>
      </c>
      <c r="J153" s="17">
        <v>1800</v>
      </c>
      <c r="K153" s="17" t="s">
        <v>24</v>
      </c>
      <c r="L153" s="17" t="s">
        <v>25</v>
      </c>
      <c r="M153" s="17" t="s">
        <v>26</v>
      </c>
      <c r="N153" s="17" t="s">
        <v>26</v>
      </c>
      <c r="O153" s="17" t="s">
        <v>26</v>
      </c>
      <c r="P153" s="13">
        <v>20</v>
      </c>
      <c r="Q153" s="17" t="s">
        <v>35</v>
      </c>
      <c r="R153" s="2" t="s">
        <v>506</v>
      </c>
      <c r="S153" s="2" t="s">
        <v>511</v>
      </c>
      <c r="T153" s="2" t="s">
        <v>512</v>
      </c>
      <c r="U153" s="10">
        <v>0</v>
      </c>
      <c r="V153" s="52">
        <v>1</v>
      </c>
      <c r="W153" s="24"/>
      <c r="X153" s="66">
        <f t="shared" si="7"/>
        <v>1800</v>
      </c>
      <c r="Z153" s="84">
        <f t="shared" si="8"/>
        <v>0</v>
      </c>
    </row>
    <row r="154" spans="1:27" ht="49.5" customHeight="1">
      <c r="A154" s="2">
        <v>153</v>
      </c>
      <c r="B154" s="2" t="s">
        <v>1310</v>
      </c>
      <c r="C154" s="2" t="s">
        <v>61</v>
      </c>
      <c r="D154" s="2">
        <v>11</v>
      </c>
      <c r="E154" s="2" t="s">
        <v>422</v>
      </c>
      <c r="F154" s="2">
        <v>105</v>
      </c>
      <c r="G154" s="2" t="s">
        <v>428</v>
      </c>
      <c r="H154" s="2" t="s">
        <v>513</v>
      </c>
      <c r="I154" s="2" t="s">
        <v>514</v>
      </c>
      <c r="J154" s="17">
        <v>3700</v>
      </c>
      <c r="K154" s="17" t="s">
        <v>24</v>
      </c>
      <c r="L154" s="17" t="s">
        <v>25</v>
      </c>
      <c r="M154" s="17" t="s">
        <v>215</v>
      </c>
      <c r="N154" s="17" t="s">
        <v>26</v>
      </c>
      <c r="O154" s="17" t="s">
        <v>215</v>
      </c>
      <c r="P154" s="13">
        <v>20</v>
      </c>
      <c r="Q154" s="17" t="s">
        <v>515</v>
      </c>
      <c r="R154" s="2" t="s">
        <v>506</v>
      </c>
      <c r="S154" s="2" t="s">
        <v>516</v>
      </c>
      <c r="T154" s="2" t="s">
        <v>517</v>
      </c>
      <c r="U154" s="10">
        <v>0</v>
      </c>
      <c r="V154" s="52">
        <v>1</v>
      </c>
      <c r="W154" s="24"/>
      <c r="X154" s="66">
        <f t="shared" si="7"/>
        <v>3700</v>
      </c>
      <c r="Z154" s="84">
        <f t="shared" si="8"/>
        <v>0</v>
      </c>
    </row>
    <row r="155" spans="1:27" ht="49.5" customHeight="1">
      <c r="A155" s="2">
        <v>154</v>
      </c>
      <c r="B155" s="2" t="s">
        <v>1310</v>
      </c>
      <c r="C155" s="2" t="s">
        <v>61</v>
      </c>
      <c r="D155" s="2">
        <v>11</v>
      </c>
      <c r="E155" s="2" t="s">
        <v>422</v>
      </c>
      <c r="F155" s="2">
        <v>106</v>
      </c>
      <c r="G155" s="2" t="s">
        <v>433</v>
      </c>
      <c r="H155" s="2" t="s">
        <v>518</v>
      </c>
      <c r="I155" s="2">
        <v>1060</v>
      </c>
      <c r="J155" s="17">
        <v>500</v>
      </c>
      <c r="K155" s="17" t="s">
        <v>24</v>
      </c>
      <c r="L155" s="17" t="s">
        <v>25</v>
      </c>
      <c r="M155" s="17" t="s">
        <v>26</v>
      </c>
      <c r="N155" s="17" t="s">
        <v>26</v>
      </c>
      <c r="O155" s="17" t="s">
        <v>519</v>
      </c>
      <c r="P155" s="13">
        <v>20</v>
      </c>
      <c r="Q155" s="17" t="s">
        <v>35</v>
      </c>
      <c r="R155" s="2" t="s">
        <v>520</v>
      </c>
      <c r="S155" s="2" t="s">
        <v>521</v>
      </c>
      <c r="T155" s="2" t="s">
        <v>522</v>
      </c>
      <c r="U155" s="10">
        <v>0.8</v>
      </c>
      <c r="V155" s="52">
        <v>0.2</v>
      </c>
      <c r="W155" s="24"/>
      <c r="X155" s="66">
        <f t="shared" si="7"/>
        <v>100</v>
      </c>
      <c r="Z155" s="84">
        <f t="shared" si="8"/>
        <v>400</v>
      </c>
    </row>
    <row r="156" spans="1:27" ht="49.5" customHeight="1">
      <c r="A156" s="2">
        <v>155</v>
      </c>
      <c r="B156" s="2" t="s">
        <v>1310</v>
      </c>
      <c r="C156" s="2" t="s">
        <v>61</v>
      </c>
      <c r="D156" s="2">
        <v>11</v>
      </c>
      <c r="E156" s="2" t="s">
        <v>422</v>
      </c>
      <c r="F156" s="2">
        <v>106</v>
      </c>
      <c r="G156" s="2" t="s">
        <v>433</v>
      </c>
      <c r="H156" s="2" t="s">
        <v>523</v>
      </c>
      <c r="I156" s="2" t="s">
        <v>524</v>
      </c>
      <c r="J156" s="17">
        <v>620</v>
      </c>
      <c r="K156" s="17" t="s">
        <v>24</v>
      </c>
      <c r="L156" s="17" t="s">
        <v>25</v>
      </c>
      <c r="M156" s="17" t="s">
        <v>26</v>
      </c>
      <c r="N156" s="17" t="s">
        <v>26</v>
      </c>
      <c r="O156" s="17" t="s">
        <v>519</v>
      </c>
      <c r="P156" s="13">
        <v>20</v>
      </c>
      <c r="Q156" s="17" t="s">
        <v>35</v>
      </c>
      <c r="R156" s="2" t="s">
        <v>520</v>
      </c>
      <c r="S156" s="2" t="s">
        <v>525</v>
      </c>
      <c r="T156" s="17" t="s">
        <v>526</v>
      </c>
      <c r="U156" s="10">
        <v>1</v>
      </c>
      <c r="V156" s="52">
        <v>0</v>
      </c>
      <c r="W156" s="24"/>
      <c r="X156" s="66">
        <f t="shared" si="7"/>
        <v>0</v>
      </c>
      <c r="Z156" s="84">
        <f t="shared" si="8"/>
        <v>620</v>
      </c>
    </row>
    <row r="157" spans="1:27" ht="49.5" customHeight="1">
      <c r="A157" s="2">
        <v>156</v>
      </c>
      <c r="B157" s="2" t="s">
        <v>1310</v>
      </c>
      <c r="C157" s="2" t="s">
        <v>61</v>
      </c>
      <c r="D157" s="2">
        <v>11</v>
      </c>
      <c r="E157" s="2" t="s">
        <v>422</v>
      </c>
      <c r="F157" s="2">
        <v>106</v>
      </c>
      <c r="G157" s="2" t="s">
        <v>433</v>
      </c>
      <c r="H157" s="2" t="s">
        <v>527</v>
      </c>
      <c r="I157" s="2" t="s">
        <v>528</v>
      </c>
      <c r="J157" s="17">
        <v>3800</v>
      </c>
      <c r="K157" s="17" t="s">
        <v>89</v>
      </c>
      <c r="L157" s="17" t="s">
        <v>25</v>
      </c>
      <c r="M157" s="17" t="s">
        <v>26</v>
      </c>
      <c r="N157" s="17" t="s">
        <v>26</v>
      </c>
      <c r="O157" s="17" t="s">
        <v>519</v>
      </c>
      <c r="P157" s="13">
        <v>20</v>
      </c>
      <c r="Q157" s="17" t="s">
        <v>35</v>
      </c>
      <c r="R157" s="2" t="s">
        <v>520</v>
      </c>
      <c r="S157" s="2" t="s">
        <v>529</v>
      </c>
      <c r="T157" s="17" t="s">
        <v>530</v>
      </c>
      <c r="U157" s="10">
        <v>1</v>
      </c>
      <c r="V157" s="52">
        <v>0</v>
      </c>
      <c r="W157" s="25"/>
      <c r="X157" s="66">
        <f t="shared" si="7"/>
        <v>0</v>
      </c>
      <c r="Z157" s="84">
        <f t="shared" si="8"/>
        <v>3800</v>
      </c>
    </row>
    <row r="158" spans="1:27" ht="49.5" customHeight="1">
      <c r="A158" s="2">
        <v>157</v>
      </c>
      <c r="B158" s="2" t="s">
        <v>1310</v>
      </c>
      <c r="C158" s="2" t="s">
        <v>61</v>
      </c>
      <c r="D158" s="2">
        <v>11</v>
      </c>
      <c r="E158" s="2" t="s">
        <v>422</v>
      </c>
      <c r="F158" s="2">
        <v>109</v>
      </c>
      <c r="G158" s="2" t="s">
        <v>437</v>
      </c>
      <c r="H158" s="2" t="s">
        <v>531</v>
      </c>
      <c r="I158" s="2" t="s">
        <v>532</v>
      </c>
      <c r="J158" s="17">
        <v>700</v>
      </c>
      <c r="K158" s="17" t="s">
        <v>24</v>
      </c>
      <c r="L158" s="17" t="s">
        <v>25</v>
      </c>
      <c r="M158" s="17" t="s">
        <v>26</v>
      </c>
      <c r="N158" s="17" t="s">
        <v>26</v>
      </c>
      <c r="O158" s="17" t="s">
        <v>519</v>
      </c>
      <c r="P158" s="13">
        <v>20</v>
      </c>
      <c r="Q158" s="17" t="s">
        <v>533</v>
      </c>
      <c r="R158" s="2" t="s">
        <v>520</v>
      </c>
      <c r="S158" s="2" t="s">
        <v>534</v>
      </c>
      <c r="T158" s="2" t="s">
        <v>535</v>
      </c>
      <c r="U158" s="10">
        <v>0.8</v>
      </c>
      <c r="V158" s="52">
        <v>0.2</v>
      </c>
      <c r="W158" s="24"/>
      <c r="X158" s="66">
        <f t="shared" si="7"/>
        <v>140</v>
      </c>
      <c r="Z158" s="84">
        <f t="shared" si="8"/>
        <v>560</v>
      </c>
      <c r="AA158" s="25"/>
    </row>
    <row r="159" spans="1:27" s="12" customFormat="1" ht="49.5" customHeight="1">
      <c r="A159" s="2">
        <v>158</v>
      </c>
      <c r="B159" s="2" t="s">
        <v>1310</v>
      </c>
      <c r="C159" s="2" t="s">
        <v>61</v>
      </c>
      <c r="D159" s="2">
        <v>11</v>
      </c>
      <c r="E159" s="2" t="s">
        <v>422</v>
      </c>
      <c r="F159" s="2">
        <v>109</v>
      </c>
      <c r="G159" s="2" t="s">
        <v>437</v>
      </c>
      <c r="H159" s="2" t="s">
        <v>536</v>
      </c>
      <c r="I159" s="2" t="s">
        <v>537</v>
      </c>
      <c r="J159" s="17">
        <v>1000</v>
      </c>
      <c r="K159" s="17" t="s">
        <v>24</v>
      </c>
      <c r="L159" s="17" t="s">
        <v>25</v>
      </c>
      <c r="M159" s="17" t="s">
        <v>26</v>
      </c>
      <c r="N159" s="17" t="s">
        <v>26</v>
      </c>
      <c r="O159" s="17" t="s">
        <v>519</v>
      </c>
      <c r="P159" s="13">
        <v>20</v>
      </c>
      <c r="Q159" s="17" t="s">
        <v>35</v>
      </c>
      <c r="R159" s="2" t="s">
        <v>520</v>
      </c>
      <c r="S159" s="2" t="s">
        <v>538</v>
      </c>
      <c r="T159" s="2" t="s">
        <v>539</v>
      </c>
      <c r="U159" s="10">
        <v>1</v>
      </c>
      <c r="V159" s="52">
        <v>0</v>
      </c>
      <c r="W159" s="25"/>
      <c r="X159" s="66">
        <f t="shared" si="7"/>
        <v>0</v>
      </c>
      <c r="Y159" s="25"/>
      <c r="Z159" s="84">
        <f t="shared" si="8"/>
        <v>1000</v>
      </c>
      <c r="AA159" s="24"/>
    </row>
    <row r="160" spans="1:27" s="12" customFormat="1" ht="49.5" customHeight="1">
      <c r="A160" s="2">
        <v>159</v>
      </c>
      <c r="B160" s="2" t="s">
        <v>1310</v>
      </c>
      <c r="C160" s="2" t="s">
        <v>61</v>
      </c>
      <c r="D160" s="2">
        <v>11</v>
      </c>
      <c r="E160" s="2" t="s">
        <v>422</v>
      </c>
      <c r="F160" s="2">
        <v>109</v>
      </c>
      <c r="G160" s="2" t="s">
        <v>437</v>
      </c>
      <c r="H160" s="2" t="s">
        <v>540</v>
      </c>
      <c r="I160" s="2" t="s">
        <v>541</v>
      </c>
      <c r="J160" s="17">
        <v>2200</v>
      </c>
      <c r="K160" s="17" t="s">
        <v>24</v>
      </c>
      <c r="L160" s="17" t="s">
        <v>176</v>
      </c>
      <c r="M160" s="17" t="s">
        <v>26</v>
      </c>
      <c r="N160" s="17" t="s">
        <v>26</v>
      </c>
      <c r="O160" s="17" t="s">
        <v>26</v>
      </c>
      <c r="P160" s="13">
        <v>20</v>
      </c>
      <c r="Q160" s="17" t="s">
        <v>35</v>
      </c>
      <c r="R160" s="2" t="s">
        <v>542</v>
      </c>
      <c r="S160" s="2" t="s">
        <v>543</v>
      </c>
      <c r="T160" s="2" t="s">
        <v>544</v>
      </c>
      <c r="U160" s="10">
        <v>0</v>
      </c>
      <c r="V160" s="52">
        <v>1</v>
      </c>
      <c r="W160" s="25"/>
      <c r="X160" s="66">
        <f t="shared" si="7"/>
        <v>2200</v>
      </c>
      <c r="Y160" s="25"/>
      <c r="Z160" s="84">
        <f t="shared" si="8"/>
        <v>0</v>
      </c>
      <c r="AA160" s="25"/>
    </row>
    <row r="161" spans="1:28" s="12" customFormat="1" ht="49.5" customHeight="1">
      <c r="A161" s="2">
        <v>160</v>
      </c>
      <c r="B161" s="2" t="s">
        <v>1310</v>
      </c>
      <c r="C161" s="2" t="s">
        <v>61</v>
      </c>
      <c r="D161" s="2">
        <v>11</v>
      </c>
      <c r="E161" s="2" t="s">
        <v>422</v>
      </c>
      <c r="F161" s="2">
        <v>109</v>
      </c>
      <c r="G161" s="2" t="s">
        <v>437</v>
      </c>
      <c r="H161" s="2" t="s">
        <v>545</v>
      </c>
      <c r="I161" s="2" t="s">
        <v>546</v>
      </c>
      <c r="J161" s="17">
        <v>40000</v>
      </c>
      <c r="K161" s="17" t="s">
        <v>24</v>
      </c>
      <c r="L161" s="17" t="s">
        <v>176</v>
      </c>
      <c r="M161" s="17" t="s">
        <v>215</v>
      </c>
      <c r="N161" s="17" t="s">
        <v>26</v>
      </c>
      <c r="O161" s="17" t="s">
        <v>26</v>
      </c>
      <c r="P161" s="13">
        <v>75</v>
      </c>
      <c r="Q161" s="17" t="s">
        <v>35</v>
      </c>
      <c r="R161" s="2" t="s">
        <v>542</v>
      </c>
      <c r="S161" s="2" t="s">
        <v>547</v>
      </c>
      <c r="T161" s="2" t="s">
        <v>548</v>
      </c>
      <c r="U161" s="10">
        <v>0</v>
      </c>
      <c r="V161" s="52">
        <v>1</v>
      </c>
      <c r="W161" s="24"/>
      <c r="X161" s="66">
        <f t="shared" si="7"/>
        <v>40000</v>
      </c>
      <c r="Y161" s="25"/>
      <c r="Z161" s="84">
        <f t="shared" si="8"/>
        <v>0</v>
      </c>
      <c r="AA161" s="25"/>
    </row>
    <row r="162" spans="1:28" s="12" customFormat="1" ht="47.45" customHeight="1">
      <c r="A162" s="2">
        <v>161</v>
      </c>
      <c r="B162" s="2" t="s">
        <v>1310</v>
      </c>
      <c r="C162" s="2" t="s">
        <v>61</v>
      </c>
      <c r="D162" s="2">
        <v>11</v>
      </c>
      <c r="E162" s="2" t="s">
        <v>422</v>
      </c>
      <c r="F162" s="2">
        <v>109</v>
      </c>
      <c r="G162" s="2" t="s">
        <v>437</v>
      </c>
      <c r="H162" s="2" t="s">
        <v>549</v>
      </c>
      <c r="I162" s="2" t="s">
        <v>550</v>
      </c>
      <c r="J162" s="17">
        <v>6500</v>
      </c>
      <c r="K162" s="17" t="s">
        <v>89</v>
      </c>
      <c r="L162" s="17" t="s">
        <v>176</v>
      </c>
      <c r="M162" s="17" t="s">
        <v>26</v>
      </c>
      <c r="N162" s="17" t="s">
        <v>26</v>
      </c>
      <c r="O162" s="17" t="s">
        <v>26</v>
      </c>
      <c r="P162" s="13">
        <v>20</v>
      </c>
      <c r="Q162" s="17" t="s">
        <v>35</v>
      </c>
      <c r="R162" s="2" t="s">
        <v>551</v>
      </c>
      <c r="S162" s="2" t="s">
        <v>552</v>
      </c>
      <c r="T162" s="2" t="s">
        <v>553</v>
      </c>
      <c r="U162" s="10">
        <v>0</v>
      </c>
      <c r="V162" s="52">
        <v>1</v>
      </c>
      <c r="W162" s="24"/>
      <c r="X162" s="66">
        <f t="shared" si="7"/>
        <v>6500</v>
      </c>
      <c r="Y162" s="25"/>
      <c r="Z162" s="84">
        <f t="shared" si="8"/>
        <v>0</v>
      </c>
      <c r="AA162" s="24"/>
    </row>
    <row r="163" spans="1:28" s="12" customFormat="1" ht="47.45" customHeight="1">
      <c r="A163" s="2">
        <v>162</v>
      </c>
      <c r="B163" s="2" t="s">
        <v>1310</v>
      </c>
      <c r="C163" s="2" t="s">
        <v>61</v>
      </c>
      <c r="D163" s="2">
        <v>11</v>
      </c>
      <c r="E163" s="2" t="s">
        <v>422</v>
      </c>
      <c r="F163" s="2">
        <v>110</v>
      </c>
      <c r="G163" s="2" t="s">
        <v>448</v>
      </c>
      <c r="H163" s="2" t="s">
        <v>554</v>
      </c>
      <c r="I163" s="2" t="s">
        <v>555</v>
      </c>
      <c r="J163" s="17">
        <v>2000</v>
      </c>
      <c r="K163" s="17" t="s">
        <v>24</v>
      </c>
      <c r="L163" s="17" t="s">
        <v>176</v>
      </c>
      <c r="M163" s="17" t="s">
        <v>26</v>
      </c>
      <c r="N163" s="17" t="s">
        <v>26</v>
      </c>
      <c r="O163" s="17" t="s">
        <v>26</v>
      </c>
      <c r="P163" s="13">
        <v>20</v>
      </c>
      <c r="Q163" s="17" t="s">
        <v>556</v>
      </c>
      <c r="R163" s="2" t="s">
        <v>557</v>
      </c>
      <c r="S163" s="2" t="s">
        <v>558</v>
      </c>
      <c r="T163" s="2" t="s">
        <v>559</v>
      </c>
      <c r="U163" s="10">
        <v>0.2</v>
      </c>
      <c r="V163" s="52">
        <v>0.8</v>
      </c>
      <c r="W163" s="24"/>
      <c r="X163" s="66">
        <f t="shared" si="7"/>
        <v>1600</v>
      </c>
      <c r="Y163" s="25"/>
      <c r="Z163" s="84">
        <f t="shared" si="8"/>
        <v>400</v>
      </c>
      <c r="AA163" s="24"/>
    </row>
    <row r="164" spans="1:28" ht="47.45" customHeight="1">
      <c r="A164" s="2">
        <v>163</v>
      </c>
      <c r="B164" s="2" t="s">
        <v>1310</v>
      </c>
      <c r="C164" s="2" t="s">
        <v>61</v>
      </c>
      <c r="D164" s="2">
        <v>11</v>
      </c>
      <c r="E164" s="2" t="s">
        <v>422</v>
      </c>
      <c r="F164" s="2">
        <v>110</v>
      </c>
      <c r="G164" s="2" t="s">
        <v>448</v>
      </c>
      <c r="H164" s="2" t="s">
        <v>560</v>
      </c>
      <c r="I164" s="2" t="s">
        <v>561</v>
      </c>
      <c r="J164" s="17">
        <v>2000</v>
      </c>
      <c r="K164" s="17" t="s">
        <v>24</v>
      </c>
      <c r="L164" s="17" t="s">
        <v>176</v>
      </c>
      <c r="M164" s="17" t="s">
        <v>215</v>
      </c>
      <c r="N164" s="17" t="s">
        <v>26</v>
      </c>
      <c r="O164" s="17" t="s">
        <v>26</v>
      </c>
      <c r="P164" s="13">
        <v>20</v>
      </c>
      <c r="Q164" s="17" t="s">
        <v>562</v>
      </c>
      <c r="R164" s="2" t="s">
        <v>563</v>
      </c>
      <c r="S164" s="2" t="s">
        <v>564</v>
      </c>
      <c r="T164" s="2" t="s">
        <v>565</v>
      </c>
      <c r="U164" s="10">
        <v>1</v>
      </c>
      <c r="V164" s="52">
        <v>0</v>
      </c>
      <c r="W164" s="24"/>
      <c r="X164" s="66">
        <f t="shared" si="7"/>
        <v>0</v>
      </c>
      <c r="Z164" s="84">
        <f t="shared" si="8"/>
        <v>2000</v>
      </c>
    </row>
    <row r="165" spans="1:28" ht="49.5" customHeight="1">
      <c r="A165" s="2">
        <v>164</v>
      </c>
      <c r="B165" s="2" t="s">
        <v>1310</v>
      </c>
      <c r="C165" s="2" t="s">
        <v>61</v>
      </c>
      <c r="D165" s="2">
        <v>11</v>
      </c>
      <c r="E165" s="2" t="s">
        <v>422</v>
      </c>
      <c r="F165" s="2">
        <v>110</v>
      </c>
      <c r="G165" s="2" t="s">
        <v>448</v>
      </c>
      <c r="H165" s="2" t="s">
        <v>566</v>
      </c>
      <c r="I165" s="2" t="s">
        <v>567</v>
      </c>
      <c r="J165" s="17">
        <v>1500</v>
      </c>
      <c r="K165" s="17" t="s">
        <v>568</v>
      </c>
      <c r="L165" s="17" t="s">
        <v>176</v>
      </c>
      <c r="M165" s="17" t="s">
        <v>26</v>
      </c>
      <c r="N165" s="17" t="s">
        <v>26</v>
      </c>
      <c r="O165" s="17" t="s">
        <v>26</v>
      </c>
      <c r="P165" s="13">
        <v>40</v>
      </c>
      <c r="Q165" s="17" t="s">
        <v>569</v>
      </c>
      <c r="R165" s="2" t="s">
        <v>570</v>
      </c>
      <c r="S165" s="2" t="s">
        <v>571</v>
      </c>
      <c r="T165" s="2" t="s">
        <v>572</v>
      </c>
      <c r="U165" s="10">
        <v>0</v>
      </c>
      <c r="V165" s="52">
        <v>1</v>
      </c>
      <c r="W165" s="24"/>
      <c r="X165" s="66">
        <f t="shared" si="7"/>
        <v>1500</v>
      </c>
      <c r="Z165" s="84">
        <f t="shared" si="8"/>
        <v>0</v>
      </c>
    </row>
    <row r="166" spans="1:28" ht="49.5" customHeight="1">
      <c r="A166" s="2">
        <v>165</v>
      </c>
      <c r="B166" s="2" t="s">
        <v>1310</v>
      </c>
      <c r="C166" s="2" t="s">
        <v>61</v>
      </c>
      <c r="D166" s="2">
        <v>13</v>
      </c>
      <c r="E166" s="2" t="s">
        <v>459</v>
      </c>
      <c r="F166" s="2">
        <v>101</v>
      </c>
      <c r="G166" s="2" t="s">
        <v>460</v>
      </c>
      <c r="H166" s="2" t="s">
        <v>573</v>
      </c>
      <c r="I166" s="2" t="s">
        <v>574</v>
      </c>
      <c r="J166" s="17">
        <v>700</v>
      </c>
      <c r="K166" s="17" t="s">
        <v>24</v>
      </c>
      <c r="L166" s="17" t="s">
        <v>176</v>
      </c>
      <c r="M166" s="17" t="s">
        <v>26</v>
      </c>
      <c r="N166" s="17" t="s">
        <v>26</v>
      </c>
      <c r="O166" s="17" t="s">
        <v>26</v>
      </c>
      <c r="P166" s="13">
        <v>25</v>
      </c>
      <c r="Q166" s="17" t="s">
        <v>533</v>
      </c>
      <c r="R166" s="2" t="s">
        <v>575</v>
      </c>
      <c r="S166" s="2" t="s">
        <v>576</v>
      </c>
      <c r="T166" s="2" t="s">
        <v>577</v>
      </c>
      <c r="U166" s="10">
        <v>0.6</v>
      </c>
      <c r="V166" s="52">
        <v>0.4</v>
      </c>
      <c r="W166" s="24"/>
      <c r="X166" s="66">
        <f t="shared" si="7"/>
        <v>280</v>
      </c>
      <c r="Z166" s="84">
        <f t="shared" si="8"/>
        <v>420</v>
      </c>
    </row>
    <row r="167" spans="1:28" ht="49.5" customHeight="1">
      <c r="A167" s="2">
        <v>166</v>
      </c>
      <c r="B167" s="2" t="s">
        <v>1310</v>
      </c>
      <c r="C167" s="2" t="s">
        <v>61</v>
      </c>
      <c r="D167" s="2">
        <v>13</v>
      </c>
      <c r="E167" s="2" t="s">
        <v>459</v>
      </c>
      <c r="F167" s="2">
        <v>104</v>
      </c>
      <c r="G167" s="2" t="s">
        <v>494</v>
      </c>
      <c r="H167" s="2" t="s">
        <v>578</v>
      </c>
      <c r="I167" s="2" t="s">
        <v>579</v>
      </c>
      <c r="J167" s="17">
        <v>580</v>
      </c>
      <c r="K167" s="17" t="s">
        <v>24</v>
      </c>
      <c r="L167" s="17" t="s">
        <v>25</v>
      </c>
      <c r="M167" s="17" t="s">
        <v>26</v>
      </c>
      <c r="N167" s="17" t="s">
        <v>26</v>
      </c>
      <c r="O167" s="17" t="s">
        <v>26</v>
      </c>
      <c r="P167" s="13">
        <v>20</v>
      </c>
      <c r="Q167" s="17" t="s">
        <v>35</v>
      </c>
      <c r="R167" s="2" t="s">
        <v>497</v>
      </c>
      <c r="S167" s="2" t="s">
        <v>580</v>
      </c>
      <c r="T167" s="2" t="s">
        <v>581</v>
      </c>
      <c r="U167" s="10">
        <v>1</v>
      </c>
      <c r="V167" s="52">
        <v>0</v>
      </c>
      <c r="W167" s="24"/>
      <c r="X167" s="66">
        <f t="shared" si="7"/>
        <v>0</v>
      </c>
      <c r="Z167" s="84">
        <f t="shared" si="8"/>
        <v>580</v>
      </c>
    </row>
    <row r="168" spans="1:28" ht="49.5" customHeight="1">
      <c r="A168" s="2">
        <v>167</v>
      </c>
      <c r="B168" s="2" t="s">
        <v>1310</v>
      </c>
      <c r="C168" s="2" t="s">
        <v>61</v>
      </c>
      <c r="D168" s="2">
        <v>13</v>
      </c>
      <c r="E168" s="2" t="s">
        <v>459</v>
      </c>
      <c r="F168" s="2">
        <v>129</v>
      </c>
      <c r="G168" s="2" t="s">
        <v>464</v>
      </c>
      <c r="H168" s="2" t="s">
        <v>582</v>
      </c>
      <c r="I168" s="2" t="s">
        <v>583</v>
      </c>
      <c r="J168" s="17">
        <v>500</v>
      </c>
      <c r="K168" s="17" t="s">
        <v>24</v>
      </c>
      <c r="L168" s="17" t="s">
        <v>176</v>
      </c>
      <c r="M168" s="17" t="s">
        <v>26</v>
      </c>
      <c r="N168" s="17" t="s">
        <v>26</v>
      </c>
      <c r="O168" s="17" t="s">
        <v>26</v>
      </c>
      <c r="P168" s="13">
        <v>20</v>
      </c>
      <c r="Q168" s="17" t="s">
        <v>35</v>
      </c>
      <c r="R168" s="2" t="s">
        <v>497</v>
      </c>
      <c r="S168" s="2" t="s">
        <v>584</v>
      </c>
      <c r="T168" s="2" t="s">
        <v>585</v>
      </c>
      <c r="U168" s="10">
        <v>1</v>
      </c>
      <c r="V168" s="52">
        <v>0</v>
      </c>
      <c r="W168" s="24"/>
      <c r="X168" s="66">
        <f t="shared" si="7"/>
        <v>0</v>
      </c>
      <c r="Z168" s="84">
        <f t="shared" si="8"/>
        <v>500</v>
      </c>
    </row>
    <row r="169" spans="1:28" ht="49.5" customHeight="1">
      <c r="A169" s="2">
        <v>168</v>
      </c>
      <c r="B169" s="2" t="s">
        <v>1310</v>
      </c>
      <c r="C169" s="2" t="s">
        <v>61</v>
      </c>
      <c r="D169" s="2">
        <v>16</v>
      </c>
      <c r="E169" s="2" t="s">
        <v>183</v>
      </c>
      <c r="F169" s="2">
        <v>131</v>
      </c>
      <c r="G169" s="2" t="s">
        <v>208</v>
      </c>
      <c r="H169" s="2" t="s">
        <v>586</v>
      </c>
      <c r="I169" s="2" t="s">
        <v>587</v>
      </c>
      <c r="J169" s="17">
        <v>2000</v>
      </c>
      <c r="K169" s="17" t="s">
        <v>24</v>
      </c>
      <c r="L169" s="17" t="s">
        <v>25</v>
      </c>
      <c r="M169" s="17" t="s">
        <v>26</v>
      </c>
      <c r="N169" s="17" t="s">
        <v>26</v>
      </c>
      <c r="O169" s="17" t="s">
        <v>26</v>
      </c>
      <c r="P169" s="13">
        <v>20</v>
      </c>
      <c r="Q169" s="17" t="s">
        <v>35</v>
      </c>
      <c r="R169" s="2" t="s">
        <v>506</v>
      </c>
      <c r="S169" s="2" t="s">
        <v>588</v>
      </c>
      <c r="T169" s="2" t="s">
        <v>589</v>
      </c>
      <c r="U169" s="10">
        <v>0</v>
      </c>
      <c r="V169" s="52">
        <v>1</v>
      </c>
      <c r="W169" s="24"/>
      <c r="X169" s="66">
        <f t="shared" si="7"/>
        <v>2000</v>
      </c>
      <c r="Z169" s="84">
        <f t="shared" si="8"/>
        <v>0</v>
      </c>
    </row>
    <row r="170" spans="1:28" ht="49.5" customHeight="1">
      <c r="A170" s="2">
        <v>169</v>
      </c>
      <c r="B170" s="2" t="s">
        <v>1122</v>
      </c>
      <c r="C170" s="2" t="s">
        <v>61</v>
      </c>
      <c r="D170" s="2">
        <v>11</v>
      </c>
      <c r="E170" s="2" t="s">
        <v>422</v>
      </c>
      <c r="F170" s="2">
        <v>109</v>
      </c>
      <c r="G170" s="2" t="s">
        <v>437</v>
      </c>
      <c r="H170" s="2" t="s">
        <v>1128</v>
      </c>
      <c r="I170" s="2" t="s">
        <v>1129</v>
      </c>
      <c r="J170" s="23">
        <v>242408</v>
      </c>
      <c r="K170" s="2" t="s">
        <v>24</v>
      </c>
      <c r="L170" s="2" t="s">
        <v>1130</v>
      </c>
      <c r="M170" s="2" t="s">
        <v>1131</v>
      </c>
      <c r="N170" s="2" t="s">
        <v>1131</v>
      </c>
      <c r="O170" s="2" t="s">
        <v>1131</v>
      </c>
      <c r="P170" s="13" t="s">
        <v>1132</v>
      </c>
      <c r="Q170" s="2" t="s">
        <v>1133</v>
      </c>
      <c r="R170" s="2" t="s">
        <v>1134</v>
      </c>
      <c r="S170" s="2" t="s">
        <v>1135</v>
      </c>
      <c r="T170" s="2" t="s">
        <v>1191</v>
      </c>
      <c r="U170" s="10">
        <v>0</v>
      </c>
      <c r="V170" s="52">
        <v>1</v>
      </c>
      <c r="W170" s="25"/>
      <c r="X170" s="66">
        <f t="shared" si="7"/>
        <v>242408</v>
      </c>
      <c r="Z170" s="84">
        <f t="shared" si="8"/>
        <v>0</v>
      </c>
    </row>
    <row r="171" spans="1:28" ht="49.5" customHeight="1">
      <c r="A171" s="2">
        <v>170</v>
      </c>
      <c r="B171" s="2" t="s">
        <v>1122</v>
      </c>
      <c r="C171" s="2" t="s">
        <v>61</v>
      </c>
      <c r="D171" s="2">
        <v>11</v>
      </c>
      <c r="E171" s="2" t="s">
        <v>422</v>
      </c>
      <c r="F171" s="2">
        <v>109</v>
      </c>
      <c r="G171" s="2" t="s">
        <v>437</v>
      </c>
      <c r="H171" s="2" t="s">
        <v>1136</v>
      </c>
      <c r="I171" s="2">
        <v>1845</v>
      </c>
      <c r="J171" s="23">
        <v>11788</v>
      </c>
      <c r="K171" s="2" t="s">
        <v>24</v>
      </c>
      <c r="L171" s="2" t="s">
        <v>1130</v>
      </c>
      <c r="M171" s="2" t="s">
        <v>1131</v>
      </c>
      <c r="N171" s="2" t="s">
        <v>1131</v>
      </c>
      <c r="O171" s="2" t="s">
        <v>1131</v>
      </c>
      <c r="P171" s="13" t="s">
        <v>1132</v>
      </c>
      <c r="Q171" s="2" t="s">
        <v>1133</v>
      </c>
      <c r="R171" s="2" t="s">
        <v>1134</v>
      </c>
      <c r="S171" s="2" t="s">
        <v>1135</v>
      </c>
      <c r="T171" s="2" t="s">
        <v>1192</v>
      </c>
      <c r="U171" s="10">
        <v>0</v>
      </c>
      <c r="V171" s="52">
        <v>1</v>
      </c>
      <c r="W171" s="25"/>
      <c r="X171" s="66">
        <f t="shared" si="7"/>
        <v>11788</v>
      </c>
      <c r="Z171" s="84">
        <f t="shared" si="8"/>
        <v>0</v>
      </c>
      <c r="AA171" s="25"/>
    </row>
    <row r="172" spans="1:28" ht="49.5" customHeight="1">
      <c r="A172" s="2">
        <v>171</v>
      </c>
      <c r="B172" s="2" t="s">
        <v>1122</v>
      </c>
      <c r="C172" s="2" t="s">
        <v>61</v>
      </c>
      <c r="D172" s="2">
        <v>11</v>
      </c>
      <c r="E172" s="2" t="s">
        <v>422</v>
      </c>
      <c r="F172" s="2">
        <v>109</v>
      </c>
      <c r="G172" s="2" t="s">
        <v>437</v>
      </c>
      <c r="H172" s="2" t="s">
        <v>1136</v>
      </c>
      <c r="I172" s="2">
        <v>2397</v>
      </c>
      <c r="J172" s="23">
        <v>22179</v>
      </c>
      <c r="K172" s="2" t="s">
        <v>24</v>
      </c>
      <c r="L172" s="2" t="s">
        <v>1130</v>
      </c>
      <c r="M172" s="2" t="s">
        <v>1131</v>
      </c>
      <c r="N172" s="2" t="s">
        <v>1131</v>
      </c>
      <c r="O172" s="2" t="s">
        <v>1131</v>
      </c>
      <c r="P172" s="13" t="s">
        <v>1132</v>
      </c>
      <c r="Q172" s="2" t="s">
        <v>1133</v>
      </c>
      <c r="R172" s="2" t="s">
        <v>1134</v>
      </c>
      <c r="S172" s="2" t="s">
        <v>1135</v>
      </c>
      <c r="T172" s="2" t="s">
        <v>1191</v>
      </c>
      <c r="U172" s="10">
        <v>0</v>
      </c>
      <c r="V172" s="52">
        <v>1</v>
      </c>
      <c r="W172" s="25"/>
      <c r="X172" s="66">
        <f t="shared" si="7"/>
        <v>22179</v>
      </c>
      <c r="Z172" s="84">
        <f t="shared" si="8"/>
        <v>0</v>
      </c>
      <c r="AA172" s="25"/>
    </row>
    <row r="173" spans="1:28" ht="49.5" customHeight="1" thickBot="1">
      <c r="A173" s="2">
        <v>172</v>
      </c>
      <c r="B173" s="2" t="s">
        <v>1122</v>
      </c>
      <c r="C173" s="2" t="s">
        <v>61</v>
      </c>
      <c r="D173" s="2">
        <v>11</v>
      </c>
      <c r="E173" s="2" t="s">
        <v>422</v>
      </c>
      <c r="F173" s="2">
        <v>109</v>
      </c>
      <c r="G173" s="2" t="s">
        <v>437</v>
      </c>
      <c r="H173" s="2" t="s">
        <v>1137</v>
      </c>
      <c r="I173" s="2" t="s">
        <v>1138</v>
      </c>
      <c r="J173" s="23">
        <v>81199</v>
      </c>
      <c r="K173" s="2" t="s">
        <v>24</v>
      </c>
      <c r="L173" s="2" t="s">
        <v>1130</v>
      </c>
      <c r="M173" s="2" t="s">
        <v>1131</v>
      </c>
      <c r="N173" s="2" t="s">
        <v>1131</v>
      </c>
      <c r="O173" s="2" t="s">
        <v>1131</v>
      </c>
      <c r="P173" s="13" t="s">
        <v>1132</v>
      </c>
      <c r="Q173" s="2" t="s">
        <v>1133</v>
      </c>
      <c r="R173" s="2" t="s">
        <v>1134</v>
      </c>
      <c r="S173" s="2" t="s">
        <v>1135</v>
      </c>
      <c r="T173" s="2" t="s">
        <v>1191</v>
      </c>
      <c r="U173" s="10">
        <v>0</v>
      </c>
      <c r="V173" s="52">
        <v>1</v>
      </c>
      <c r="W173" s="25"/>
      <c r="X173" s="66">
        <f t="shared" si="7"/>
        <v>81199</v>
      </c>
      <c r="Z173" s="84">
        <f t="shared" si="8"/>
        <v>0</v>
      </c>
      <c r="AA173" s="25"/>
    </row>
    <row r="174" spans="1:28" ht="49.5" customHeight="1" thickBot="1">
      <c r="A174" s="2">
        <v>173</v>
      </c>
      <c r="B174" s="53" t="s">
        <v>1127</v>
      </c>
      <c r="C174" s="53" t="s">
        <v>61</v>
      </c>
      <c r="D174" s="53">
        <v>11</v>
      </c>
      <c r="E174" s="53" t="s">
        <v>422</v>
      </c>
      <c r="F174" s="53">
        <v>109</v>
      </c>
      <c r="G174" s="53" t="s">
        <v>437</v>
      </c>
      <c r="H174" s="53" t="s">
        <v>1158</v>
      </c>
      <c r="I174" s="53" t="s">
        <v>1159</v>
      </c>
      <c r="J174" s="90">
        <v>239754</v>
      </c>
      <c r="K174" s="53" t="s">
        <v>89</v>
      </c>
      <c r="L174" s="53" t="s">
        <v>1131</v>
      </c>
      <c r="M174" s="53" t="s">
        <v>215</v>
      </c>
      <c r="N174" s="53" t="s">
        <v>215</v>
      </c>
      <c r="O174" s="53" t="s">
        <v>215</v>
      </c>
      <c r="P174" s="86" t="s">
        <v>1149</v>
      </c>
      <c r="Q174" s="53" t="s">
        <v>1133</v>
      </c>
      <c r="R174" s="53" t="s">
        <v>1160</v>
      </c>
      <c r="S174" s="53" t="s">
        <v>1161</v>
      </c>
      <c r="T174" s="53" t="s">
        <v>1193</v>
      </c>
      <c r="U174" s="63">
        <v>0</v>
      </c>
      <c r="V174" s="64">
        <v>1</v>
      </c>
      <c r="W174" s="54"/>
      <c r="X174" s="67">
        <f t="shared" si="7"/>
        <v>239754</v>
      </c>
      <c r="Z174" s="87">
        <f t="shared" si="8"/>
        <v>0</v>
      </c>
      <c r="AA174" s="71">
        <f>SUM(Z130:Z174)</f>
        <v>26555</v>
      </c>
      <c r="AB174" s="93">
        <f>SUM(J130:J174)</f>
        <v>716104</v>
      </c>
    </row>
    <row r="175" spans="1:28" ht="49.5" customHeight="1">
      <c r="A175" s="2">
        <v>174</v>
      </c>
      <c r="B175" s="55" t="s">
        <v>18</v>
      </c>
      <c r="C175" s="55" t="s">
        <v>66</v>
      </c>
      <c r="D175" s="55">
        <v>13</v>
      </c>
      <c r="E175" s="55" t="s">
        <v>459</v>
      </c>
      <c r="F175" s="55">
        <v>122</v>
      </c>
      <c r="G175" s="55" t="s">
        <v>590</v>
      </c>
      <c r="H175" s="55" t="s">
        <v>590</v>
      </c>
      <c r="I175" s="55" t="s">
        <v>591</v>
      </c>
      <c r="J175" s="55">
        <v>1101</v>
      </c>
      <c r="K175" s="55" t="s">
        <v>24</v>
      </c>
      <c r="L175" s="55" t="s">
        <v>82</v>
      </c>
      <c r="M175" s="55" t="s">
        <v>26</v>
      </c>
      <c r="N175" s="55" t="s">
        <v>26</v>
      </c>
      <c r="O175" s="55" t="s">
        <v>26</v>
      </c>
      <c r="P175" s="57"/>
      <c r="Q175" s="55" t="s">
        <v>592</v>
      </c>
      <c r="R175" s="55" t="s">
        <v>177</v>
      </c>
      <c r="S175" s="104" t="s">
        <v>615</v>
      </c>
      <c r="T175" s="55" t="s">
        <v>1272</v>
      </c>
      <c r="U175" s="59">
        <v>1</v>
      </c>
      <c r="V175" s="60">
        <v>0</v>
      </c>
      <c r="W175" s="61"/>
      <c r="X175" s="82">
        <f t="shared" si="7"/>
        <v>0</v>
      </c>
      <c r="Z175" s="83">
        <f t="shared" si="8"/>
        <v>1101</v>
      </c>
      <c r="AA175" s="25"/>
    </row>
    <row r="176" spans="1:28" ht="49.5" customHeight="1">
      <c r="A176" s="2">
        <v>175</v>
      </c>
      <c r="B176" s="2" t="s">
        <v>18</v>
      </c>
      <c r="C176" s="2" t="s">
        <v>66</v>
      </c>
      <c r="D176" s="2">
        <v>13</v>
      </c>
      <c r="E176" s="2" t="s">
        <v>459</v>
      </c>
      <c r="F176" s="2">
        <v>131</v>
      </c>
      <c r="G176" s="2" t="s">
        <v>596</v>
      </c>
      <c r="H176" s="2" t="s">
        <v>596</v>
      </c>
      <c r="I176" s="2" t="s">
        <v>597</v>
      </c>
      <c r="J176" s="2">
        <v>1560</v>
      </c>
      <c r="K176" s="2" t="s">
        <v>24</v>
      </c>
      <c r="L176" s="2" t="s">
        <v>82</v>
      </c>
      <c r="M176" s="2" t="s">
        <v>26</v>
      </c>
      <c r="N176" s="2" t="s">
        <v>26</v>
      </c>
      <c r="O176" s="2" t="s">
        <v>26</v>
      </c>
      <c r="P176" s="13"/>
      <c r="Q176" s="2" t="s">
        <v>598</v>
      </c>
      <c r="R176" s="2" t="s">
        <v>177</v>
      </c>
      <c r="S176" s="72" t="s">
        <v>615</v>
      </c>
      <c r="T176" s="2" t="s">
        <v>1274</v>
      </c>
      <c r="U176" s="10">
        <v>1</v>
      </c>
      <c r="V176" s="52">
        <v>0</v>
      </c>
      <c r="W176" s="25"/>
      <c r="X176" s="66">
        <f t="shared" si="7"/>
        <v>0</v>
      </c>
      <c r="Z176" s="84">
        <f t="shared" si="8"/>
        <v>1560</v>
      </c>
    </row>
    <row r="177" spans="1:26" ht="49.5" customHeight="1">
      <c r="A177" s="2">
        <v>176</v>
      </c>
      <c r="B177" s="2" t="s">
        <v>18</v>
      </c>
      <c r="C177" s="2" t="s">
        <v>66</v>
      </c>
      <c r="D177" s="2">
        <v>13</v>
      </c>
      <c r="E177" s="2" t="s">
        <v>459</v>
      </c>
      <c r="F177" s="2">
        <v>131</v>
      </c>
      <c r="G177" s="2" t="s">
        <v>459</v>
      </c>
      <c r="H177" s="2" t="s">
        <v>599</v>
      </c>
      <c r="I177" s="2" t="s">
        <v>600</v>
      </c>
      <c r="J177" s="2">
        <v>2934</v>
      </c>
      <c r="K177" s="2" t="s">
        <v>24</v>
      </c>
      <c r="L177" s="2" t="s">
        <v>82</v>
      </c>
      <c r="M177" s="2" t="s">
        <v>26</v>
      </c>
      <c r="N177" s="2" t="s">
        <v>26</v>
      </c>
      <c r="O177" s="2" t="s">
        <v>26</v>
      </c>
      <c r="P177" s="13"/>
      <c r="Q177" s="2" t="s">
        <v>601</v>
      </c>
      <c r="R177" s="2" t="s">
        <v>177</v>
      </c>
      <c r="S177" s="72" t="s">
        <v>615</v>
      </c>
      <c r="T177" s="2" t="s">
        <v>1275</v>
      </c>
      <c r="U177" s="10">
        <v>1</v>
      </c>
      <c r="V177" s="52">
        <v>0</v>
      </c>
      <c r="W177" s="25"/>
      <c r="X177" s="66">
        <f t="shared" si="7"/>
        <v>0</v>
      </c>
      <c r="Z177" s="84">
        <f t="shared" si="8"/>
        <v>2934</v>
      </c>
    </row>
    <row r="178" spans="1:26" ht="49.5" customHeight="1">
      <c r="A178" s="2">
        <v>177</v>
      </c>
      <c r="B178" s="2" t="s">
        <v>1181</v>
      </c>
      <c r="C178" s="2" t="s">
        <v>66</v>
      </c>
      <c r="D178" s="2">
        <v>11</v>
      </c>
      <c r="E178" s="2" t="s">
        <v>422</v>
      </c>
      <c r="F178" s="2">
        <v>105</v>
      </c>
      <c r="G178" s="2" t="s">
        <v>428</v>
      </c>
      <c r="H178" s="2" t="s">
        <v>602</v>
      </c>
      <c r="I178" s="88" t="s">
        <v>603</v>
      </c>
      <c r="J178" s="23">
        <v>40000</v>
      </c>
      <c r="K178" s="2" t="s">
        <v>89</v>
      </c>
      <c r="L178" s="2" t="s">
        <v>25</v>
      </c>
      <c r="M178" s="2" t="s">
        <v>26</v>
      </c>
      <c r="N178" s="2" t="s">
        <v>26</v>
      </c>
      <c r="O178" s="2" t="s">
        <v>26</v>
      </c>
      <c r="P178" s="13">
        <v>13</v>
      </c>
      <c r="Q178" s="2" t="s">
        <v>604</v>
      </c>
      <c r="R178" s="2" t="s">
        <v>605</v>
      </c>
      <c r="S178" s="2" t="s">
        <v>606</v>
      </c>
      <c r="T178" s="2" t="s">
        <v>607</v>
      </c>
      <c r="U178" s="10">
        <v>0</v>
      </c>
      <c r="V178" s="52">
        <v>1</v>
      </c>
      <c r="W178" s="25"/>
      <c r="X178" s="66">
        <f t="shared" si="7"/>
        <v>40000</v>
      </c>
      <c r="Z178" s="84">
        <f t="shared" si="8"/>
        <v>0</v>
      </c>
    </row>
    <row r="179" spans="1:26" ht="49.5" customHeight="1">
      <c r="A179" s="2">
        <v>178</v>
      </c>
      <c r="B179" s="2" t="s">
        <v>18</v>
      </c>
      <c r="C179" s="2" t="s">
        <v>66</v>
      </c>
      <c r="D179" s="2">
        <v>13</v>
      </c>
      <c r="E179" s="2" t="s">
        <v>459</v>
      </c>
      <c r="F179" s="2">
        <v>104</v>
      </c>
      <c r="G179" s="2" t="s">
        <v>494</v>
      </c>
      <c r="H179" s="14" t="s">
        <v>608</v>
      </c>
      <c r="I179" s="2" t="s">
        <v>609</v>
      </c>
      <c r="J179" s="2">
        <v>1400</v>
      </c>
      <c r="K179" s="2" t="s">
        <v>24</v>
      </c>
      <c r="L179" s="2" t="s">
        <v>25</v>
      </c>
      <c r="M179" s="2" t="s">
        <v>26</v>
      </c>
      <c r="N179" s="2" t="s">
        <v>26</v>
      </c>
      <c r="O179" s="2" t="s">
        <v>26</v>
      </c>
      <c r="P179" s="13">
        <v>90</v>
      </c>
      <c r="Q179" s="2" t="s">
        <v>35</v>
      </c>
      <c r="R179" s="2" t="s">
        <v>177</v>
      </c>
      <c r="S179" s="72" t="s">
        <v>615</v>
      </c>
      <c r="T179" s="2" t="s">
        <v>611</v>
      </c>
      <c r="U179" s="10">
        <v>0</v>
      </c>
      <c r="V179" s="52">
        <v>1</v>
      </c>
      <c r="W179" s="25"/>
      <c r="X179" s="66">
        <f t="shared" ref="X179:X242" si="9">V179*J179</f>
        <v>1400</v>
      </c>
      <c r="Z179" s="84">
        <f t="shared" si="8"/>
        <v>0</v>
      </c>
    </row>
    <row r="180" spans="1:26" ht="49.5" customHeight="1">
      <c r="A180" s="2">
        <v>179</v>
      </c>
      <c r="B180" s="2" t="s">
        <v>18</v>
      </c>
      <c r="C180" s="2" t="s">
        <v>66</v>
      </c>
      <c r="D180" s="2">
        <v>13</v>
      </c>
      <c r="E180" s="2" t="s">
        <v>459</v>
      </c>
      <c r="F180" s="2">
        <v>122</v>
      </c>
      <c r="G180" s="2" t="s">
        <v>612</v>
      </c>
      <c r="H180" s="2" t="s">
        <v>613</v>
      </c>
      <c r="I180" s="2" t="s">
        <v>614</v>
      </c>
      <c r="J180" s="2">
        <v>1400</v>
      </c>
      <c r="K180" s="2" t="s">
        <v>24</v>
      </c>
      <c r="L180" s="2" t="s">
        <v>176</v>
      </c>
      <c r="M180" s="2" t="s">
        <v>26</v>
      </c>
      <c r="N180" s="2" t="s">
        <v>26</v>
      </c>
      <c r="O180" s="2" t="s">
        <v>26</v>
      </c>
      <c r="P180" s="13">
        <v>90</v>
      </c>
      <c r="Q180" s="2" t="s">
        <v>35</v>
      </c>
      <c r="R180" s="2" t="s">
        <v>177</v>
      </c>
      <c r="S180" s="16" t="s">
        <v>615</v>
      </c>
      <c r="T180" s="2" t="s">
        <v>1276</v>
      </c>
      <c r="U180" s="10">
        <v>0</v>
      </c>
      <c r="V180" s="52">
        <v>1</v>
      </c>
      <c r="W180" s="25"/>
      <c r="X180" s="66">
        <f t="shared" si="9"/>
        <v>1400</v>
      </c>
      <c r="Z180" s="84">
        <f t="shared" si="8"/>
        <v>0</v>
      </c>
    </row>
    <row r="181" spans="1:26" ht="49.5" customHeight="1">
      <c r="A181" s="2">
        <v>180</v>
      </c>
      <c r="B181" s="2" t="s">
        <v>18</v>
      </c>
      <c r="C181" s="2" t="s">
        <v>66</v>
      </c>
      <c r="D181" s="2">
        <v>13</v>
      </c>
      <c r="E181" s="2" t="s">
        <v>459</v>
      </c>
      <c r="F181" s="2">
        <v>122</v>
      </c>
      <c r="G181" s="2" t="s">
        <v>612</v>
      </c>
      <c r="H181" s="2" t="s">
        <v>616</v>
      </c>
      <c r="I181" s="2" t="s">
        <v>617</v>
      </c>
      <c r="J181" s="2">
        <v>2700</v>
      </c>
      <c r="K181" s="2" t="s">
        <v>24</v>
      </c>
      <c r="L181" s="2" t="s">
        <v>176</v>
      </c>
      <c r="M181" s="2" t="s">
        <v>26</v>
      </c>
      <c r="N181" s="2" t="s">
        <v>26</v>
      </c>
      <c r="O181" s="2" t="s">
        <v>26</v>
      </c>
      <c r="P181" s="13">
        <v>90</v>
      </c>
      <c r="Q181" s="2" t="s">
        <v>618</v>
      </c>
      <c r="R181" s="2" t="s">
        <v>177</v>
      </c>
      <c r="S181" s="16" t="s">
        <v>615</v>
      </c>
      <c r="T181" s="2" t="s">
        <v>1277</v>
      </c>
      <c r="U181" s="10">
        <v>0</v>
      </c>
      <c r="V181" s="52">
        <v>1</v>
      </c>
      <c r="W181" s="25"/>
      <c r="X181" s="66">
        <f t="shared" si="9"/>
        <v>2700</v>
      </c>
      <c r="Z181" s="84">
        <f t="shared" si="8"/>
        <v>0</v>
      </c>
    </row>
    <row r="182" spans="1:26" ht="49.5" customHeight="1">
      <c r="A182" s="2">
        <v>181</v>
      </c>
      <c r="B182" s="2" t="s">
        <v>18</v>
      </c>
      <c r="C182" s="2" t="s">
        <v>66</v>
      </c>
      <c r="D182" s="2">
        <v>13</v>
      </c>
      <c r="E182" s="2" t="s">
        <v>459</v>
      </c>
      <c r="F182" s="2">
        <v>125</v>
      </c>
      <c r="G182" s="2" t="s">
        <v>619</v>
      </c>
      <c r="H182" s="14" t="s">
        <v>620</v>
      </c>
      <c r="I182" s="2" t="s">
        <v>621</v>
      </c>
      <c r="J182" s="2">
        <v>2100</v>
      </c>
      <c r="K182" s="2" t="s">
        <v>24</v>
      </c>
      <c r="L182" s="2" t="s">
        <v>176</v>
      </c>
      <c r="M182" s="2" t="s">
        <v>26</v>
      </c>
      <c r="N182" s="2" t="s">
        <v>26</v>
      </c>
      <c r="O182" s="2" t="s">
        <v>26</v>
      </c>
      <c r="P182" s="13">
        <v>70</v>
      </c>
      <c r="Q182" s="2" t="s">
        <v>35</v>
      </c>
      <c r="R182" s="2" t="s">
        <v>177</v>
      </c>
      <c r="S182" s="16" t="s">
        <v>615</v>
      </c>
      <c r="T182" s="2" t="s">
        <v>622</v>
      </c>
      <c r="U182" s="10">
        <v>1</v>
      </c>
      <c r="V182" s="52">
        <v>0</v>
      </c>
      <c r="W182" s="25"/>
      <c r="X182" s="66">
        <f t="shared" si="9"/>
        <v>0</v>
      </c>
      <c r="Z182" s="84">
        <f t="shared" si="8"/>
        <v>2100</v>
      </c>
    </row>
    <row r="183" spans="1:26" ht="49.5" customHeight="1">
      <c r="A183" s="2">
        <v>182</v>
      </c>
      <c r="B183" s="2" t="s">
        <v>18</v>
      </c>
      <c r="C183" s="2" t="s">
        <v>66</v>
      </c>
      <c r="D183" s="2">
        <v>13</v>
      </c>
      <c r="E183" s="2" t="s">
        <v>459</v>
      </c>
      <c r="F183" s="2">
        <v>125</v>
      </c>
      <c r="G183" s="2" t="s">
        <v>619</v>
      </c>
      <c r="H183" s="14" t="s">
        <v>623</v>
      </c>
      <c r="I183" s="2" t="s">
        <v>624</v>
      </c>
      <c r="J183" s="14">
        <v>3500</v>
      </c>
      <c r="K183" s="2" t="s">
        <v>24</v>
      </c>
      <c r="L183" s="2" t="s">
        <v>25</v>
      </c>
      <c r="M183" s="2" t="s">
        <v>26</v>
      </c>
      <c r="N183" s="2" t="s">
        <v>26</v>
      </c>
      <c r="O183" s="2" t="s">
        <v>26</v>
      </c>
      <c r="P183" s="13">
        <v>80</v>
      </c>
      <c r="Q183" s="2" t="s">
        <v>35</v>
      </c>
      <c r="R183" s="2" t="s">
        <v>177</v>
      </c>
      <c r="S183" s="15" t="s">
        <v>615</v>
      </c>
      <c r="T183" s="2" t="s">
        <v>625</v>
      </c>
      <c r="U183" s="10">
        <v>0</v>
      </c>
      <c r="V183" s="52">
        <v>1</v>
      </c>
      <c r="W183" s="25"/>
      <c r="X183" s="66">
        <f t="shared" si="9"/>
        <v>3500</v>
      </c>
      <c r="Z183" s="84">
        <f t="shared" si="8"/>
        <v>0</v>
      </c>
    </row>
    <row r="184" spans="1:26" ht="49.5" customHeight="1">
      <c r="A184" s="2">
        <v>183</v>
      </c>
      <c r="B184" s="2" t="s">
        <v>18</v>
      </c>
      <c r="C184" s="2" t="s">
        <v>66</v>
      </c>
      <c r="D184" s="2">
        <v>13</v>
      </c>
      <c r="E184" s="2" t="s">
        <v>459</v>
      </c>
      <c r="F184" s="2">
        <v>125</v>
      </c>
      <c r="G184" s="2" t="s">
        <v>619</v>
      </c>
      <c r="H184" s="14" t="s">
        <v>459</v>
      </c>
      <c r="I184" s="2" t="s">
        <v>626</v>
      </c>
      <c r="J184" s="14">
        <v>600</v>
      </c>
      <c r="K184" s="2" t="s">
        <v>24</v>
      </c>
      <c r="L184" s="2" t="s">
        <v>82</v>
      </c>
      <c r="M184" s="2" t="s">
        <v>26</v>
      </c>
      <c r="N184" s="2" t="s">
        <v>26</v>
      </c>
      <c r="O184" s="2" t="s">
        <v>26</v>
      </c>
      <c r="P184" s="13">
        <v>100</v>
      </c>
      <c r="Q184" s="2" t="s">
        <v>35</v>
      </c>
      <c r="R184" s="2" t="s">
        <v>177</v>
      </c>
      <c r="S184" s="15" t="s">
        <v>615</v>
      </c>
      <c r="T184" s="2" t="s">
        <v>1278</v>
      </c>
      <c r="U184" s="10">
        <v>0.5</v>
      </c>
      <c r="V184" s="52">
        <v>0.5</v>
      </c>
      <c r="W184" s="25"/>
      <c r="X184" s="66">
        <f t="shared" si="9"/>
        <v>300</v>
      </c>
      <c r="Z184" s="84">
        <f t="shared" si="8"/>
        <v>300</v>
      </c>
    </row>
    <row r="185" spans="1:26" ht="49.5" customHeight="1">
      <c r="A185" s="2">
        <v>184</v>
      </c>
      <c r="B185" s="2" t="s">
        <v>18</v>
      </c>
      <c r="C185" s="2" t="s">
        <v>66</v>
      </c>
      <c r="D185" s="2">
        <v>13</v>
      </c>
      <c r="E185" s="2" t="s">
        <v>459</v>
      </c>
      <c r="F185" s="2">
        <v>129</v>
      </c>
      <c r="G185" s="2" t="s">
        <v>464</v>
      </c>
      <c r="H185" s="2" t="s">
        <v>627</v>
      </c>
      <c r="I185" s="2" t="s">
        <v>628</v>
      </c>
      <c r="J185" s="2">
        <v>2800</v>
      </c>
      <c r="K185" s="2" t="s">
        <v>24</v>
      </c>
      <c r="L185" s="2" t="s">
        <v>176</v>
      </c>
      <c r="M185" s="2" t="s">
        <v>26</v>
      </c>
      <c r="N185" s="2" t="s">
        <v>26</v>
      </c>
      <c r="O185" s="2" t="s">
        <v>26</v>
      </c>
      <c r="P185" s="13">
        <v>70</v>
      </c>
      <c r="Q185" s="2" t="s">
        <v>35</v>
      </c>
      <c r="R185" s="2" t="s">
        <v>177</v>
      </c>
      <c r="S185" s="16" t="s">
        <v>610</v>
      </c>
      <c r="T185" s="2" t="s">
        <v>629</v>
      </c>
      <c r="U185" s="10">
        <v>0.5</v>
      </c>
      <c r="V185" s="52">
        <v>0.5</v>
      </c>
      <c r="W185" s="25"/>
      <c r="X185" s="66">
        <f t="shared" si="9"/>
        <v>1400</v>
      </c>
      <c r="Z185" s="84">
        <f t="shared" si="8"/>
        <v>1400</v>
      </c>
    </row>
    <row r="186" spans="1:26" ht="49.5" customHeight="1">
      <c r="A186" s="2">
        <v>185</v>
      </c>
      <c r="B186" s="2" t="s">
        <v>18</v>
      </c>
      <c r="C186" s="2" t="s">
        <v>66</v>
      </c>
      <c r="D186" s="2">
        <v>13</v>
      </c>
      <c r="E186" s="2" t="s">
        <v>459</v>
      </c>
      <c r="F186" s="2">
        <v>129</v>
      </c>
      <c r="G186" s="2" t="s">
        <v>464</v>
      </c>
      <c r="H186" s="2" t="s">
        <v>630</v>
      </c>
      <c r="I186" s="2" t="s">
        <v>631</v>
      </c>
      <c r="J186" s="2">
        <v>500</v>
      </c>
      <c r="K186" s="2" t="s">
        <v>24</v>
      </c>
      <c r="L186" s="2" t="s">
        <v>25</v>
      </c>
      <c r="M186" s="2" t="s">
        <v>26</v>
      </c>
      <c r="N186" s="2" t="s">
        <v>26</v>
      </c>
      <c r="O186" s="2" t="s">
        <v>26</v>
      </c>
      <c r="P186" s="13">
        <v>70</v>
      </c>
      <c r="Q186" s="2" t="s">
        <v>35</v>
      </c>
      <c r="R186" s="2" t="s">
        <v>177</v>
      </c>
      <c r="S186" s="16" t="s">
        <v>426</v>
      </c>
      <c r="T186" s="2" t="s">
        <v>632</v>
      </c>
      <c r="U186" s="10">
        <v>0</v>
      </c>
      <c r="V186" s="52">
        <v>1</v>
      </c>
      <c r="W186" s="25"/>
      <c r="X186" s="66">
        <f t="shared" si="9"/>
        <v>500</v>
      </c>
      <c r="Z186" s="84">
        <f t="shared" si="8"/>
        <v>0</v>
      </c>
    </row>
    <row r="187" spans="1:26" ht="49.5" customHeight="1">
      <c r="A187" s="2">
        <v>186</v>
      </c>
      <c r="B187" s="2" t="s">
        <v>18</v>
      </c>
      <c r="C187" s="2" t="s">
        <v>66</v>
      </c>
      <c r="D187" s="2">
        <v>16</v>
      </c>
      <c r="E187" s="2" t="s">
        <v>183</v>
      </c>
      <c r="F187" s="2">
        <v>131</v>
      </c>
      <c r="G187" s="2" t="s">
        <v>208</v>
      </c>
      <c r="H187" s="2" t="s">
        <v>633</v>
      </c>
      <c r="I187" s="2" t="s">
        <v>1279</v>
      </c>
      <c r="J187" s="2">
        <v>3500</v>
      </c>
      <c r="K187" s="2" t="s">
        <v>24</v>
      </c>
      <c r="L187" s="2" t="s">
        <v>82</v>
      </c>
      <c r="M187" s="2" t="s">
        <v>26</v>
      </c>
      <c r="N187" s="2" t="s">
        <v>26</v>
      </c>
      <c r="O187" s="2" t="s">
        <v>215</v>
      </c>
      <c r="P187" s="13">
        <v>110</v>
      </c>
      <c r="Q187" s="2" t="s">
        <v>35</v>
      </c>
      <c r="R187" s="2" t="s">
        <v>177</v>
      </c>
      <c r="S187" s="72" t="s">
        <v>440</v>
      </c>
      <c r="T187" s="2" t="s">
        <v>634</v>
      </c>
      <c r="U187" s="10">
        <v>0</v>
      </c>
      <c r="V187" s="52">
        <v>1</v>
      </c>
      <c r="W187" s="25"/>
      <c r="X187" s="66">
        <f t="shared" si="9"/>
        <v>3500</v>
      </c>
      <c r="Z187" s="84">
        <f t="shared" si="8"/>
        <v>0</v>
      </c>
    </row>
    <row r="188" spans="1:26" ht="49.5" customHeight="1">
      <c r="A188" s="2">
        <v>187</v>
      </c>
      <c r="B188" s="2" t="s">
        <v>18</v>
      </c>
      <c r="C188" s="2" t="s">
        <v>66</v>
      </c>
      <c r="D188" s="2">
        <v>16</v>
      </c>
      <c r="E188" s="2" t="s">
        <v>183</v>
      </c>
      <c r="F188" s="2">
        <v>131</v>
      </c>
      <c r="G188" s="2" t="s">
        <v>208</v>
      </c>
      <c r="H188" s="2" t="s">
        <v>635</v>
      </c>
      <c r="I188" s="2" t="s">
        <v>636</v>
      </c>
      <c r="J188" s="2">
        <v>500</v>
      </c>
      <c r="K188" s="2" t="s">
        <v>24</v>
      </c>
      <c r="L188" s="2" t="s">
        <v>176</v>
      </c>
      <c r="M188" s="2" t="s">
        <v>26</v>
      </c>
      <c r="N188" s="2" t="s">
        <v>26</v>
      </c>
      <c r="O188" s="2" t="s">
        <v>26</v>
      </c>
      <c r="P188" s="13">
        <v>110</v>
      </c>
      <c r="Q188" s="2" t="s">
        <v>35</v>
      </c>
      <c r="R188" s="2" t="s">
        <v>177</v>
      </c>
      <c r="S188" s="91" t="s">
        <v>440</v>
      </c>
      <c r="T188" s="2" t="s">
        <v>637</v>
      </c>
      <c r="U188" s="10">
        <v>0</v>
      </c>
      <c r="V188" s="52">
        <v>1</v>
      </c>
      <c r="W188" s="25"/>
      <c r="X188" s="66">
        <f t="shared" si="9"/>
        <v>500</v>
      </c>
      <c r="Z188" s="84">
        <f t="shared" si="8"/>
        <v>0</v>
      </c>
    </row>
    <row r="189" spans="1:26" ht="49.5" customHeight="1">
      <c r="A189" s="2">
        <v>188</v>
      </c>
      <c r="B189" s="2" t="s">
        <v>18</v>
      </c>
      <c r="C189" s="2" t="s">
        <v>66</v>
      </c>
      <c r="D189" s="2">
        <v>16</v>
      </c>
      <c r="E189" s="2" t="s">
        <v>183</v>
      </c>
      <c r="F189" s="2">
        <v>131</v>
      </c>
      <c r="G189" s="2" t="s">
        <v>208</v>
      </c>
      <c r="H189" s="2" t="s">
        <v>638</v>
      </c>
      <c r="I189" s="2" t="s">
        <v>639</v>
      </c>
      <c r="J189" s="2">
        <v>12000</v>
      </c>
      <c r="K189" s="2" t="s">
        <v>89</v>
      </c>
      <c r="L189" s="2" t="s">
        <v>176</v>
      </c>
      <c r="M189" s="2" t="s">
        <v>26</v>
      </c>
      <c r="N189" s="2" t="s">
        <v>26</v>
      </c>
      <c r="O189" s="2" t="s">
        <v>26</v>
      </c>
      <c r="P189" s="13">
        <v>120</v>
      </c>
      <c r="Q189" s="2" t="s">
        <v>35</v>
      </c>
      <c r="R189" s="2" t="s">
        <v>177</v>
      </c>
      <c r="S189" s="91" t="s">
        <v>440</v>
      </c>
      <c r="T189" s="2" t="s">
        <v>640</v>
      </c>
      <c r="U189" s="10">
        <v>0.55000000000000004</v>
      </c>
      <c r="V189" s="52">
        <v>0.45</v>
      </c>
      <c r="W189" s="25"/>
      <c r="X189" s="66">
        <f t="shared" si="9"/>
        <v>5400</v>
      </c>
      <c r="Z189" s="84">
        <f t="shared" si="8"/>
        <v>6600</v>
      </c>
    </row>
    <row r="190" spans="1:26" ht="49.5" customHeight="1">
      <c r="A190" s="2">
        <v>189</v>
      </c>
      <c r="B190" s="2" t="s">
        <v>18</v>
      </c>
      <c r="C190" s="2" t="s">
        <v>66</v>
      </c>
      <c r="D190" s="2">
        <v>16</v>
      </c>
      <c r="E190" s="2" t="s">
        <v>183</v>
      </c>
      <c r="F190" s="2">
        <v>131</v>
      </c>
      <c r="G190" s="2" t="s">
        <v>208</v>
      </c>
      <c r="H190" s="2" t="s">
        <v>641</v>
      </c>
      <c r="I190" s="2" t="s">
        <v>642</v>
      </c>
      <c r="J190" s="2">
        <v>600</v>
      </c>
      <c r="K190" s="2" t="s">
        <v>24</v>
      </c>
      <c r="L190" s="2" t="s">
        <v>25</v>
      </c>
      <c r="M190" s="2" t="s">
        <v>26</v>
      </c>
      <c r="N190" s="2" t="s">
        <v>26</v>
      </c>
      <c r="O190" s="2" t="s">
        <v>26</v>
      </c>
      <c r="P190" s="13">
        <v>100</v>
      </c>
      <c r="Q190" s="2" t="s">
        <v>35</v>
      </c>
      <c r="R190" s="2" t="s">
        <v>177</v>
      </c>
      <c r="S190" s="72" t="s">
        <v>1280</v>
      </c>
      <c r="T190" s="2" t="s">
        <v>643</v>
      </c>
      <c r="U190" s="10">
        <v>0</v>
      </c>
      <c r="V190" s="52">
        <v>1</v>
      </c>
      <c r="W190" s="25"/>
      <c r="X190" s="66">
        <f t="shared" si="9"/>
        <v>600</v>
      </c>
      <c r="Z190" s="84">
        <f t="shared" si="8"/>
        <v>0</v>
      </c>
    </row>
    <row r="191" spans="1:26" ht="49.5" customHeight="1">
      <c r="A191" s="2">
        <v>190</v>
      </c>
      <c r="B191" s="2" t="s">
        <v>18</v>
      </c>
      <c r="C191" s="2" t="s">
        <v>66</v>
      </c>
      <c r="D191" s="2">
        <v>16</v>
      </c>
      <c r="E191" s="2" t="s">
        <v>183</v>
      </c>
      <c r="F191" s="2">
        <v>131</v>
      </c>
      <c r="G191" s="2" t="s">
        <v>208</v>
      </c>
      <c r="H191" s="2" t="s">
        <v>644</v>
      </c>
      <c r="I191" s="2" t="s">
        <v>645</v>
      </c>
      <c r="J191" s="2">
        <v>200</v>
      </c>
      <c r="K191" s="2" t="s">
        <v>24</v>
      </c>
      <c r="L191" s="2" t="s">
        <v>25</v>
      </c>
      <c r="M191" s="2" t="s">
        <v>26</v>
      </c>
      <c r="N191" s="2" t="s">
        <v>26</v>
      </c>
      <c r="O191" s="2" t="s">
        <v>26</v>
      </c>
      <c r="P191" s="13">
        <v>110</v>
      </c>
      <c r="Q191" s="2" t="s">
        <v>35</v>
      </c>
      <c r="R191" s="2" t="s">
        <v>177</v>
      </c>
      <c r="S191" s="72" t="s">
        <v>1280</v>
      </c>
      <c r="T191" s="2" t="s">
        <v>646</v>
      </c>
      <c r="U191" s="10">
        <v>0</v>
      </c>
      <c r="V191" s="52">
        <v>1</v>
      </c>
      <c r="W191" s="25"/>
      <c r="X191" s="66">
        <f t="shared" si="9"/>
        <v>200</v>
      </c>
      <c r="Z191" s="84">
        <f t="shared" si="8"/>
        <v>0</v>
      </c>
    </row>
    <row r="192" spans="1:26" ht="49.5" customHeight="1">
      <c r="A192" s="2">
        <v>191</v>
      </c>
      <c r="B192" s="2" t="s">
        <v>18</v>
      </c>
      <c r="C192" s="2" t="s">
        <v>66</v>
      </c>
      <c r="D192" s="2">
        <v>16</v>
      </c>
      <c r="E192" s="2" t="s">
        <v>183</v>
      </c>
      <c r="F192" s="2">
        <v>131</v>
      </c>
      <c r="G192" s="2" t="s">
        <v>208</v>
      </c>
      <c r="H192" s="2" t="s">
        <v>647</v>
      </c>
      <c r="I192" s="2" t="s">
        <v>648</v>
      </c>
      <c r="J192" s="2">
        <v>6912</v>
      </c>
      <c r="K192" s="2" t="s">
        <v>89</v>
      </c>
      <c r="L192" s="2" t="s">
        <v>25</v>
      </c>
      <c r="M192" s="2" t="s">
        <v>26</v>
      </c>
      <c r="N192" s="2" t="s">
        <v>26</v>
      </c>
      <c r="O192" s="2" t="s">
        <v>26</v>
      </c>
      <c r="P192" s="13">
        <v>110</v>
      </c>
      <c r="Q192" s="2" t="s">
        <v>35</v>
      </c>
      <c r="R192" s="2" t="s">
        <v>177</v>
      </c>
      <c r="S192" s="91" t="s">
        <v>440</v>
      </c>
      <c r="T192" s="2" t="s">
        <v>649</v>
      </c>
      <c r="U192" s="10">
        <v>1</v>
      </c>
      <c r="V192" s="52">
        <v>0</v>
      </c>
      <c r="W192" s="25"/>
      <c r="X192" s="66">
        <f t="shared" si="9"/>
        <v>0</v>
      </c>
      <c r="Z192" s="84">
        <f t="shared" si="8"/>
        <v>6912</v>
      </c>
    </row>
    <row r="193" spans="1:27" ht="49.5" customHeight="1">
      <c r="A193" s="2">
        <v>192</v>
      </c>
      <c r="B193" s="2" t="s">
        <v>18</v>
      </c>
      <c r="C193" s="2" t="s">
        <v>66</v>
      </c>
      <c r="D193" s="2">
        <v>16</v>
      </c>
      <c r="E193" s="2" t="s">
        <v>183</v>
      </c>
      <c r="F193" s="2">
        <v>131</v>
      </c>
      <c r="G193" s="2" t="s">
        <v>208</v>
      </c>
      <c r="H193" s="2" t="s">
        <v>586</v>
      </c>
      <c r="I193" s="2" t="s">
        <v>1281</v>
      </c>
      <c r="J193" s="2">
        <v>1400</v>
      </c>
      <c r="K193" s="2" t="s">
        <v>24</v>
      </c>
      <c r="L193" s="2" t="s">
        <v>176</v>
      </c>
      <c r="M193" s="2" t="s">
        <v>26</v>
      </c>
      <c r="N193" s="2" t="s">
        <v>26</v>
      </c>
      <c r="O193" s="2" t="s">
        <v>26</v>
      </c>
      <c r="P193" s="13">
        <v>70</v>
      </c>
      <c r="Q193" s="2" t="s">
        <v>35</v>
      </c>
      <c r="R193" s="2" t="s">
        <v>177</v>
      </c>
      <c r="S193" s="16" t="s">
        <v>440</v>
      </c>
      <c r="T193" s="2" t="s">
        <v>650</v>
      </c>
      <c r="U193" s="10">
        <v>0</v>
      </c>
      <c r="V193" s="52">
        <v>1</v>
      </c>
      <c r="W193" s="25"/>
      <c r="X193" s="66">
        <f t="shared" si="9"/>
        <v>1400</v>
      </c>
      <c r="Z193" s="84">
        <f t="shared" ref="Z193:Z208" si="10">J193-X193</f>
        <v>0</v>
      </c>
    </row>
    <row r="194" spans="1:27" ht="49.5" customHeight="1">
      <c r="A194" s="2">
        <v>193</v>
      </c>
      <c r="B194" s="2" t="s">
        <v>18</v>
      </c>
      <c r="C194" s="2" t="s">
        <v>66</v>
      </c>
      <c r="D194" s="2">
        <v>16</v>
      </c>
      <c r="E194" s="2" t="s">
        <v>183</v>
      </c>
      <c r="F194" s="2">
        <v>131</v>
      </c>
      <c r="G194" s="2" t="s">
        <v>208</v>
      </c>
      <c r="H194" s="2" t="s">
        <v>651</v>
      </c>
      <c r="I194" s="2">
        <v>944</v>
      </c>
      <c r="J194" s="2">
        <v>1000</v>
      </c>
      <c r="K194" s="2" t="s">
        <v>24</v>
      </c>
      <c r="L194" s="2" t="s">
        <v>25</v>
      </c>
      <c r="M194" s="2" t="s">
        <v>26</v>
      </c>
      <c r="N194" s="2" t="s">
        <v>26</v>
      </c>
      <c r="O194" s="2" t="s">
        <v>26</v>
      </c>
      <c r="P194" s="13">
        <v>130</v>
      </c>
      <c r="Q194" s="2" t="s">
        <v>35</v>
      </c>
      <c r="R194" s="2" t="s">
        <v>177</v>
      </c>
      <c r="S194" s="72" t="s">
        <v>440</v>
      </c>
      <c r="T194" s="2" t="s">
        <v>652</v>
      </c>
      <c r="U194" s="10">
        <v>0</v>
      </c>
      <c r="V194" s="52">
        <v>1</v>
      </c>
      <c r="W194" s="25"/>
      <c r="X194" s="66">
        <f t="shared" si="9"/>
        <v>1000</v>
      </c>
      <c r="Z194" s="84">
        <f t="shared" si="10"/>
        <v>0</v>
      </c>
    </row>
    <row r="195" spans="1:27" ht="49.5" customHeight="1">
      <c r="A195" s="2">
        <v>194</v>
      </c>
      <c r="B195" s="2" t="s">
        <v>1310</v>
      </c>
      <c r="C195" s="2" t="s">
        <v>66</v>
      </c>
      <c r="D195" s="2">
        <v>13</v>
      </c>
      <c r="E195" s="2" t="s">
        <v>459</v>
      </c>
      <c r="F195" s="2">
        <v>101</v>
      </c>
      <c r="G195" s="2" t="s">
        <v>460</v>
      </c>
      <c r="H195" s="2" t="s">
        <v>653</v>
      </c>
      <c r="I195" s="2" t="s">
        <v>654</v>
      </c>
      <c r="J195" s="2">
        <v>1656</v>
      </c>
      <c r="K195" s="2" t="s">
        <v>24</v>
      </c>
      <c r="L195" s="2" t="s">
        <v>82</v>
      </c>
      <c r="M195" s="2" t="s">
        <v>215</v>
      </c>
      <c r="N195" s="2" t="s">
        <v>26</v>
      </c>
      <c r="O195" s="2" t="s">
        <v>26</v>
      </c>
      <c r="P195" s="13">
        <v>20</v>
      </c>
      <c r="Q195" s="2" t="s">
        <v>35</v>
      </c>
      <c r="R195" s="2" t="s">
        <v>655</v>
      </c>
      <c r="S195" s="2" t="s">
        <v>656</v>
      </c>
      <c r="T195" s="2" t="s">
        <v>657</v>
      </c>
      <c r="U195" s="10">
        <v>0</v>
      </c>
      <c r="V195" s="52">
        <v>1</v>
      </c>
      <c r="W195" s="25"/>
      <c r="X195" s="66">
        <f t="shared" si="9"/>
        <v>1656</v>
      </c>
      <c r="Z195" s="84">
        <f t="shared" si="10"/>
        <v>0</v>
      </c>
    </row>
    <row r="196" spans="1:27" ht="49.5" customHeight="1">
      <c r="A196" s="2">
        <v>195</v>
      </c>
      <c r="B196" s="2" t="s">
        <v>1310</v>
      </c>
      <c r="C196" s="2" t="s">
        <v>66</v>
      </c>
      <c r="D196" s="2">
        <v>13</v>
      </c>
      <c r="E196" s="2" t="s">
        <v>459</v>
      </c>
      <c r="F196" s="2">
        <v>101</v>
      </c>
      <c r="G196" s="2" t="s">
        <v>460</v>
      </c>
      <c r="H196" s="2" t="s">
        <v>653</v>
      </c>
      <c r="I196" s="2">
        <v>2469</v>
      </c>
      <c r="J196" s="2">
        <v>820</v>
      </c>
      <c r="K196" s="2" t="s">
        <v>24</v>
      </c>
      <c r="L196" s="2" t="s">
        <v>82</v>
      </c>
      <c r="M196" s="2" t="s">
        <v>215</v>
      </c>
      <c r="N196" s="2" t="s">
        <v>26</v>
      </c>
      <c r="O196" s="2" t="s">
        <v>26</v>
      </c>
      <c r="P196" s="13">
        <v>20</v>
      </c>
      <c r="Q196" s="2" t="s">
        <v>35</v>
      </c>
      <c r="R196" s="2" t="s">
        <v>655</v>
      </c>
      <c r="S196" s="2" t="s">
        <v>656</v>
      </c>
      <c r="T196" s="2" t="s">
        <v>658</v>
      </c>
      <c r="U196" s="10">
        <v>0</v>
      </c>
      <c r="V196" s="52">
        <v>1</v>
      </c>
      <c r="W196" s="25"/>
      <c r="X196" s="66">
        <f t="shared" si="9"/>
        <v>820</v>
      </c>
      <c r="Z196" s="84">
        <f t="shared" si="10"/>
        <v>0</v>
      </c>
    </row>
    <row r="197" spans="1:27" ht="49.5" customHeight="1">
      <c r="A197" s="2">
        <v>196</v>
      </c>
      <c r="B197" s="2" t="s">
        <v>1310</v>
      </c>
      <c r="C197" s="2" t="s">
        <v>66</v>
      </c>
      <c r="D197" s="2">
        <v>13</v>
      </c>
      <c r="E197" s="2" t="s">
        <v>459</v>
      </c>
      <c r="F197" s="2">
        <v>122</v>
      </c>
      <c r="G197" s="2" t="s">
        <v>612</v>
      </c>
      <c r="H197" s="2" t="s">
        <v>659</v>
      </c>
      <c r="I197" s="2" t="s">
        <v>660</v>
      </c>
      <c r="J197" s="2">
        <v>890</v>
      </c>
      <c r="K197" s="2" t="s">
        <v>24</v>
      </c>
      <c r="L197" s="2" t="s">
        <v>82</v>
      </c>
      <c r="M197" s="2" t="s">
        <v>215</v>
      </c>
      <c r="N197" s="2" t="s">
        <v>26</v>
      </c>
      <c r="O197" s="2" t="s">
        <v>26</v>
      </c>
      <c r="P197" s="13">
        <v>20</v>
      </c>
      <c r="Q197" s="2" t="s">
        <v>35</v>
      </c>
      <c r="R197" s="2" t="s">
        <v>655</v>
      </c>
      <c r="S197" s="2" t="s">
        <v>656</v>
      </c>
      <c r="T197" s="2" t="s">
        <v>661</v>
      </c>
      <c r="U197" s="10">
        <v>0</v>
      </c>
      <c r="V197" s="52">
        <v>1</v>
      </c>
      <c r="W197" s="25"/>
      <c r="X197" s="66">
        <f t="shared" si="9"/>
        <v>890</v>
      </c>
      <c r="Z197" s="84">
        <f t="shared" si="10"/>
        <v>0</v>
      </c>
    </row>
    <row r="198" spans="1:27" ht="49.5" customHeight="1">
      <c r="A198" s="2">
        <v>197</v>
      </c>
      <c r="B198" s="2" t="s">
        <v>1310</v>
      </c>
      <c r="C198" s="2" t="s">
        <v>66</v>
      </c>
      <c r="D198" s="2">
        <v>13</v>
      </c>
      <c r="E198" s="2" t="s">
        <v>459</v>
      </c>
      <c r="F198" s="2">
        <v>122</v>
      </c>
      <c r="G198" s="2" t="s">
        <v>612</v>
      </c>
      <c r="H198" s="2" t="s">
        <v>659</v>
      </c>
      <c r="I198" s="2">
        <v>419</v>
      </c>
      <c r="J198" s="2">
        <v>100</v>
      </c>
      <c r="K198" s="2" t="s">
        <v>24</v>
      </c>
      <c r="L198" s="2" t="s">
        <v>82</v>
      </c>
      <c r="M198" s="2" t="s">
        <v>215</v>
      </c>
      <c r="N198" s="2" t="s">
        <v>26</v>
      </c>
      <c r="O198" s="2" t="s">
        <v>26</v>
      </c>
      <c r="P198" s="13">
        <v>20</v>
      </c>
      <c r="Q198" s="2" t="s">
        <v>35</v>
      </c>
      <c r="R198" s="2" t="s">
        <v>655</v>
      </c>
      <c r="S198" s="2" t="s">
        <v>656</v>
      </c>
      <c r="T198" s="2" t="s">
        <v>661</v>
      </c>
      <c r="U198" s="10">
        <v>0</v>
      </c>
      <c r="V198" s="52">
        <v>1</v>
      </c>
      <c r="W198" s="25"/>
      <c r="X198" s="66">
        <f t="shared" si="9"/>
        <v>100</v>
      </c>
      <c r="Z198" s="84">
        <f t="shared" si="10"/>
        <v>0</v>
      </c>
      <c r="AA198" s="25"/>
    </row>
    <row r="199" spans="1:27" s="12" customFormat="1" ht="49.5" customHeight="1">
      <c r="A199" s="2">
        <v>198</v>
      </c>
      <c r="B199" s="2" t="s">
        <v>1310</v>
      </c>
      <c r="C199" s="2" t="s">
        <v>66</v>
      </c>
      <c r="D199" s="2">
        <v>13</v>
      </c>
      <c r="E199" s="2" t="s">
        <v>459</v>
      </c>
      <c r="F199" s="2">
        <v>122</v>
      </c>
      <c r="G199" s="2" t="s">
        <v>612</v>
      </c>
      <c r="H199" s="2" t="s">
        <v>662</v>
      </c>
      <c r="I199" s="2">
        <v>3246</v>
      </c>
      <c r="J199" s="2">
        <v>950</v>
      </c>
      <c r="K199" s="2" t="s">
        <v>24</v>
      </c>
      <c r="L199" s="2" t="s">
        <v>176</v>
      </c>
      <c r="M199" s="2" t="s">
        <v>215</v>
      </c>
      <c r="N199" s="2" t="s">
        <v>26</v>
      </c>
      <c r="O199" s="2" t="s">
        <v>26</v>
      </c>
      <c r="P199" s="13">
        <v>20</v>
      </c>
      <c r="Q199" s="2" t="s">
        <v>35</v>
      </c>
      <c r="R199" s="2" t="s">
        <v>655</v>
      </c>
      <c r="S199" s="2" t="s">
        <v>656</v>
      </c>
      <c r="T199" s="2" t="s">
        <v>662</v>
      </c>
      <c r="U199" s="10">
        <v>0</v>
      </c>
      <c r="V199" s="52">
        <v>1</v>
      </c>
      <c r="W199" s="25"/>
      <c r="X199" s="66">
        <f t="shared" si="9"/>
        <v>950</v>
      </c>
      <c r="Y199" s="25"/>
      <c r="Z199" s="84">
        <f t="shared" si="10"/>
        <v>0</v>
      </c>
      <c r="AA199" s="24"/>
    </row>
    <row r="200" spans="1:27" ht="49.5" customHeight="1">
      <c r="A200" s="2">
        <v>199</v>
      </c>
      <c r="B200" s="2" t="s">
        <v>1310</v>
      </c>
      <c r="C200" s="2" t="s">
        <v>66</v>
      </c>
      <c r="D200" s="2">
        <v>13</v>
      </c>
      <c r="E200" s="2" t="s">
        <v>459</v>
      </c>
      <c r="F200" s="2">
        <v>124</v>
      </c>
      <c r="G200" s="2" t="s">
        <v>663</v>
      </c>
      <c r="H200" s="2" t="s">
        <v>664</v>
      </c>
      <c r="I200" s="2" t="s">
        <v>665</v>
      </c>
      <c r="J200" s="2">
        <v>80</v>
      </c>
      <c r="K200" s="2" t="s">
        <v>24</v>
      </c>
      <c r="L200" s="2" t="s">
        <v>25</v>
      </c>
      <c r="M200" s="2" t="s">
        <v>215</v>
      </c>
      <c r="N200" s="2" t="s">
        <v>26</v>
      </c>
      <c r="O200" s="2" t="s">
        <v>26</v>
      </c>
      <c r="P200" s="13">
        <v>20</v>
      </c>
      <c r="Q200" s="2" t="s">
        <v>666</v>
      </c>
      <c r="R200" s="2" t="s">
        <v>667</v>
      </c>
      <c r="S200" s="2" t="s">
        <v>668</v>
      </c>
      <c r="T200" s="2" t="s">
        <v>669</v>
      </c>
      <c r="U200" s="10">
        <v>0</v>
      </c>
      <c r="V200" s="52">
        <v>1</v>
      </c>
      <c r="W200" s="25"/>
      <c r="X200" s="66">
        <f t="shared" si="9"/>
        <v>80</v>
      </c>
      <c r="Z200" s="84">
        <f t="shared" si="10"/>
        <v>0</v>
      </c>
    </row>
    <row r="201" spans="1:27" ht="49.5" customHeight="1">
      <c r="A201" s="2">
        <v>200</v>
      </c>
      <c r="B201" s="2" t="s">
        <v>1310</v>
      </c>
      <c r="C201" s="2" t="s">
        <v>66</v>
      </c>
      <c r="D201" s="2">
        <v>13</v>
      </c>
      <c r="E201" s="2" t="s">
        <v>459</v>
      </c>
      <c r="F201" s="2">
        <v>124</v>
      </c>
      <c r="G201" s="2" t="s">
        <v>663</v>
      </c>
      <c r="H201" s="2" t="s">
        <v>664</v>
      </c>
      <c r="I201" s="2">
        <v>3637</v>
      </c>
      <c r="J201" s="2">
        <v>100</v>
      </c>
      <c r="K201" s="2" t="s">
        <v>24</v>
      </c>
      <c r="L201" s="2" t="s">
        <v>25</v>
      </c>
      <c r="M201" s="2" t="s">
        <v>215</v>
      </c>
      <c r="N201" s="2" t="s">
        <v>26</v>
      </c>
      <c r="O201" s="2" t="s">
        <v>26</v>
      </c>
      <c r="P201" s="13">
        <v>20</v>
      </c>
      <c r="Q201" s="2" t="s">
        <v>35</v>
      </c>
      <c r="R201" s="2" t="s">
        <v>667</v>
      </c>
      <c r="S201" s="2" t="s">
        <v>668</v>
      </c>
      <c r="T201" s="2" t="s">
        <v>670</v>
      </c>
      <c r="U201" s="10">
        <v>0</v>
      </c>
      <c r="V201" s="52">
        <v>1</v>
      </c>
      <c r="W201" s="25"/>
      <c r="X201" s="66">
        <f t="shared" si="9"/>
        <v>100</v>
      </c>
      <c r="Z201" s="84">
        <f t="shared" si="10"/>
        <v>0</v>
      </c>
    </row>
    <row r="202" spans="1:27" ht="49.5" customHeight="1">
      <c r="A202" s="2">
        <v>201</v>
      </c>
      <c r="B202" s="2" t="s">
        <v>1310</v>
      </c>
      <c r="C202" s="2" t="s">
        <v>66</v>
      </c>
      <c r="D202" s="2">
        <v>13</v>
      </c>
      <c r="E202" s="2" t="s">
        <v>459</v>
      </c>
      <c r="F202" s="2">
        <v>124</v>
      </c>
      <c r="G202" s="2" t="s">
        <v>663</v>
      </c>
      <c r="H202" s="2" t="s">
        <v>671</v>
      </c>
      <c r="I202" s="2">
        <v>732</v>
      </c>
      <c r="J202" s="2">
        <v>780</v>
      </c>
      <c r="K202" s="2" t="s">
        <v>24</v>
      </c>
      <c r="L202" s="2" t="s">
        <v>176</v>
      </c>
      <c r="M202" s="2" t="s">
        <v>26</v>
      </c>
      <c r="N202" s="2" t="s">
        <v>26</v>
      </c>
      <c r="O202" s="2" t="s">
        <v>26</v>
      </c>
      <c r="P202" s="13">
        <v>20</v>
      </c>
      <c r="Q202" s="2" t="s">
        <v>35</v>
      </c>
      <c r="R202" s="2" t="s">
        <v>667</v>
      </c>
      <c r="S202" s="2" t="s">
        <v>668</v>
      </c>
      <c r="T202" s="2" t="s">
        <v>672</v>
      </c>
      <c r="U202" s="10">
        <v>0</v>
      </c>
      <c r="V202" s="52">
        <v>1</v>
      </c>
      <c r="W202" s="25"/>
      <c r="X202" s="66">
        <f t="shared" si="9"/>
        <v>780</v>
      </c>
      <c r="Z202" s="84">
        <f t="shared" si="10"/>
        <v>0</v>
      </c>
    </row>
    <row r="203" spans="1:27" ht="49.5" customHeight="1">
      <c r="A203" s="2">
        <v>202</v>
      </c>
      <c r="B203" s="2" t="s">
        <v>1310</v>
      </c>
      <c r="C203" s="2" t="s">
        <v>66</v>
      </c>
      <c r="D203" s="2">
        <v>13</v>
      </c>
      <c r="E203" s="2" t="s">
        <v>459</v>
      </c>
      <c r="F203" s="2">
        <v>125</v>
      </c>
      <c r="G203" s="2" t="s">
        <v>619</v>
      </c>
      <c r="H203" s="2" t="s">
        <v>673</v>
      </c>
      <c r="I203" s="2" t="s">
        <v>674</v>
      </c>
      <c r="J203" s="23">
        <v>2000</v>
      </c>
      <c r="K203" s="2" t="s">
        <v>24</v>
      </c>
      <c r="L203" s="2" t="s">
        <v>25</v>
      </c>
      <c r="M203" s="2" t="s">
        <v>215</v>
      </c>
      <c r="N203" s="2" t="s">
        <v>26</v>
      </c>
      <c r="O203" s="2" t="s">
        <v>26</v>
      </c>
      <c r="P203" s="13">
        <v>20</v>
      </c>
      <c r="Q203" s="2" t="s">
        <v>35</v>
      </c>
      <c r="R203" s="2" t="s">
        <v>675</v>
      </c>
      <c r="S203" s="2" t="s">
        <v>676</v>
      </c>
      <c r="T203" s="2" t="s">
        <v>677</v>
      </c>
      <c r="U203" s="10">
        <v>0.6</v>
      </c>
      <c r="V203" s="52">
        <v>0.4</v>
      </c>
      <c r="W203" s="25"/>
      <c r="X203" s="66">
        <f t="shared" si="9"/>
        <v>800</v>
      </c>
      <c r="Z203" s="84">
        <f t="shared" si="10"/>
        <v>1200</v>
      </c>
    </row>
    <row r="204" spans="1:27" ht="49.5" customHeight="1">
      <c r="A204" s="2">
        <v>203</v>
      </c>
      <c r="B204" s="2" t="s">
        <v>1310</v>
      </c>
      <c r="C204" s="2" t="s">
        <v>66</v>
      </c>
      <c r="D204" s="2">
        <v>13</v>
      </c>
      <c r="E204" s="2" t="s">
        <v>459</v>
      </c>
      <c r="F204" s="2">
        <v>125</v>
      </c>
      <c r="G204" s="2" t="s">
        <v>619</v>
      </c>
      <c r="H204" s="2" t="s">
        <v>678</v>
      </c>
      <c r="I204" s="2" t="s">
        <v>679</v>
      </c>
      <c r="J204" s="2">
        <v>1200</v>
      </c>
      <c r="K204" s="2" t="s">
        <v>24</v>
      </c>
      <c r="L204" s="2" t="s">
        <v>176</v>
      </c>
      <c r="M204" s="2" t="s">
        <v>215</v>
      </c>
      <c r="N204" s="2" t="s">
        <v>26</v>
      </c>
      <c r="O204" s="2" t="s">
        <v>26</v>
      </c>
      <c r="P204" s="13">
        <v>20</v>
      </c>
      <c r="Q204" s="2" t="s">
        <v>35</v>
      </c>
      <c r="R204" s="2" t="s">
        <v>667</v>
      </c>
      <c r="S204" s="2" t="s">
        <v>668</v>
      </c>
      <c r="T204" s="2" t="s">
        <v>678</v>
      </c>
      <c r="U204" s="10">
        <v>0</v>
      </c>
      <c r="V204" s="52">
        <v>1</v>
      </c>
      <c r="W204" s="25"/>
      <c r="X204" s="66">
        <f t="shared" si="9"/>
        <v>1200</v>
      </c>
      <c r="Z204" s="84">
        <f t="shared" si="10"/>
        <v>0</v>
      </c>
    </row>
    <row r="205" spans="1:27" ht="49.5" customHeight="1">
      <c r="A205" s="2">
        <v>204</v>
      </c>
      <c r="B205" s="2" t="s">
        <v>1310</v>
      </c>
      <c r="C205" s="2" t="s">
        <v>66</v>
      </c>
      <c r="D205" s="2">
        <v>13</v>
      </c>
      <c r="E205" s="2" t="s">
        <v>459</v>
      </c>
      <c r="F205" s="2">
        <v>129</v>
      </c>
      <c r="G205" s="2" t="s">
        <v>464</v>
      </c>
      <c r="H205" s="2" t="s">
        <v>684</v>
      </c>
      <c r="I205" s="2">
        <v>465</v>
      </c>
      <c r="J205" s="2">
        <v>870</v>
      </c>
      <c r="K205" s="2" t="s">
        <v>24</v>
      </c>
      <c r="L205" s="2" t="s">
        <v>25</v>
      </c>
      <c r="M205" s="2" t="s">
        <v>215</v>
      </c>
      <c r="N205" s="2" t="s">
        <v>26</v>
      </c>
      <c r="O205" s="2" t="s">
        <v>26</v>
      </c>
      <c r="P205" s="13">
        <v>20</v>
      </c>
      <c r="Q205" s="2" t="s">
        <v>35</v>
      </c>
      <c r="R205" s="2" t="s">
        <v>685</v>
      </c>
      <c r="S205" s="2" t="s">
        <v>686</v>
      </c>
      <c r="T205" s="2" t="s">
        <v>687</v>
      </c>
      <c r="U205" s="10">
        <v>0</v>
      </c>
      <c r="V205" s="52">
        <v>1</v>
      </c>
      <c r="W205" s="25"/>
      <c r="X205" s="66">
        <f t="shared" si="9"/>
        <v>870</v>
      </c>
      <c r="Z205" s="84">
        <f t="shared" si="10"/>
        <v>0</v>
      </c>
    </row>
    <row r="206" spans="1:27" ht="49.5" customHeight="1">
      <c r="A206" s="2">
        <v>205</v>
      </c>
      <c r="B206" s="2" t="s">
        <v>1310</v>
      </c>
      <c r="C206" s="2" t="s">
        <v>66</v>
      </c>
      <c r="D206" s="2">
        <v>13</v>
      </c>
      <c r="E206" s="2" t="s">
        <v>459</v>
      </c>
      <c r="F206" s="2">
        <v>129</v>
      </c>
      <c r="G206" s="2" t="s">
        <v>464</v>
      </c>
      <c r="H206" s="2" t="s">
        <v>688</v>
      </c>
      <c r="I206" s="2" t="s">
        <v>689</v>
      </c>
      <c r="J206" s="2">
        <v>720</v>
      </c>
      <c r="K206" s="2" t="s">
        <v>24</v>
      </c>
      <c r="L206" s="2" t="s">
        <v>176</v>
      </c>
      <c r="M206" s="2" t="s">
        <v>215</v>
      </c>
      <c r="N206" s="2" t="s">
        <v>26</v>
      </c>
      <c r="O206" s="2" t="s">
        <v>26</v>
      </c>
      <c r="P206" s="13">
        <v>20</v>
      </c>
      <c r="Q206" s="2" t="s">
        <v>35</v>
      </c>
      <c r="R206" s="2" t="s">
        <v>685</v>
      </c>
      <c r="S206" s="2" t="s">
        <v>686</v>
      </c>
      <c r="T206" s="2" t="s">
        <v>688</v>
      </c>
      <c r="U206" s="10">
        <v>0</v>
      </c>
      <c r="V206" s="52">
        <v>1</v>
      </c>
      <c r="W206" s="25"/>
      <c r="X206" s="66">
        <f t="shared" si="9"/>
        <v>720</v>
      </c>
      <c r="Z206" s="84">
        <f t="shared" si="10"/>
        <v>0</v>
      </c>
    </row>
    <row r="207" spans="1:27" ht="49.5" customHeight="1">
      <c r="A207" s="2">
        <v>206</v>
      </c>
      <c r="B207" s="2" t="s">
        <v>1310</v>
      </c>
      <c r="C207" s="2" t="s">
        <v>66</v>
      </c>
      <c r="D207" s="2">
        <v>13</v>
      </c>
      <c r="E207" s="2" t="s">
        <v>459</v>
      </c>
      <c r="F207" s="2">
        <v>129</v>
      </c>
      <c r="G207" s="2" t="s">
        <v>464</v>
      </c>
      <c r="H207" s="2" t="s">
        <v>690</v>
      </c>
      <c r="I207" s="2" t="s">
        <v>691</v>
      </c>
      <c r="J207" s="2">
        <v>980</v>
      </c>
      <c r="K207" s="2" t="s">
        <v>24</v>
      </c>
      <c r="L207" s="2" t="s">
        <v>25</v>
      </c>
      <c r="M207" s="2" t="s">
        <v>215</v>
      </c>
      <c r="N207" s="2" t="s">
        <v>26</v>
      </c>
      <c r="O207" s="2" t="s">
        <v>26</v>
      </c>
      <c r="P207" s="13">
        <v>20</v>
      </c>
      <c r="Q207" s="2" t="s">
        <v>35</v>
      </c>
      <c r="R207" s="2" t="s">
        <v>682</v>
      </c>
      <c r="S207" s="2" t="s">
        <v>683</v>
      </c>
      <c r="T207" s="2" t="s">
        <v>690</v>
      </c>
      <c r="U207" s="10">
        <v>0</v>
      </c>
      <c r="V207" s="52">
        <v>1</v>
      </c>
      <c r="W207" s="25"/>
      <c r="X207" s="66">
        <f t="shared" si="9"/>
        <v>980</v>
      </c>
      <c r="Z207" s="84">
        <f t="shared" si="10"/>
        <v>0</v>
      </c>
    </row>
    <row r="208" spans="1:27" ht="49.5" customHeight="1">
      <c r="A208" s="2">
        <v>207</v>
      </c>
      <c r="B208" s="2" t="s">
        <v>1310</v>
      </c>
      <c r="C208" s="2" t="s">
        <v>66</v>
      </c>
      <c r="D208" s="2">
        <v>16</v>
      </c>
      <c r="E208" s="2" t="s">
        <v>183</v>
      </c>
      <c r="F208" s="2">
        <v>131</v>
      </c>
      <c r="G208" s="2" t="s">
        <v>208</v>
      </c>
      <c r="H208" s="2" t="s">
        <v>692</v>
      </c>
      <c r="I208" s="2" t="s">
        <v>693</v>
      </c>
      <c r="J208" s="2">
        <v>50514</v>
      </c>
      <c r="K208" s="2" t="s">
        <v>24</v>
      </c>
      <c r="L208" s="2" t="s">
        <v>82</v>
      </c>
      <c r="M208" s="2" t="s">
        <v>215</v>
      </c>
      <c r="N208" s="2" t="s">
        <v>26</v>
      </c>
      <c r="O208" s="2" t="s">
        <v>26</v>
      </c>
      <c r="P208" s="13">
        <v>20</v>
      </c>
      <c r="Q208" s="2" t="s">
        <v>35</v>
      </c>
      <c r="R208" s="2" t="s">
        <v>694</v>
      </c>
      <c r="S208" s="2" t="s">
        <v>695</v>
      </c>
      <c r="T208" s="2" t="s">
        <v>696</v>
      </c>
      <c r="U208" s="10">
        <v>0</v>
      </c>
      <c r="V208" s="52">
        <v>1</v>
      </c>
      <c r="W208" s="25"/>
      <c r="X208" s="66">
        <f t="shared" si="9"/>
        <v>50514</v>
      </c>
      <c r="Z208" s="84">
        <f t="shared" si="10"/>
        <v>0</v>
      </c>
    </row>
    <row r="209" spans="1:28" ht="49.5" customHeight="1">
      <c r="A209" s="2">
        <v>208</v>
      </c>
      <c r="B209" s="2" t="s">
        <v>18</v>
      </c>
      <c r="C209" s="2" t="s">
        <v>66</v>
      </c>
      <c r="D209" s="2">
        <v>13</v>
      </c>
      <c r="E209" s="2" t="s">
        <v>459</v>
      </c>
      <c r="F209" s="2">
        <v>122</v>
      </c>
      <c r="G209" s="2" t="s">
        <v>590</v>
      </c>
      <c r="H209" s="2" t="s">
        <v>593</v>
      </c>
      <c r="I209" s="2" t="s">
        <v>594</v>
      </c>
      <c r="J209" s="2">
        <v>2000</v>
      </c>
      <c r="K209" s="2" t="s">
        <v>24</v>
      </c>
      <c r="L209" s="2" t="s">
        <v>82</v>
      </c>
      <c r="M209" s="2" t="s">
        <v>26</v>
      </c>
      <c r="N209" s="2" t="s">
        <v>26</v>
      </c>
      <c r="O209" s="2" t="s">
        <v>26</v>
      </c>
      <c r="P209" s="13"/>
      <c r="Q209" s="2" t="s">
        <v>595</v>
      </c>
      <c r="R209" s="2" t="s">
        <v>177</v>
      </c>
      <c r="S209" s="72" t="s">
        <v>615</v>
      </c>
      <c r="T209" s="2" t="s">
        <v>1273</v>
      </c>
      <c r="U209" s="10">
        <v>0</v>
      </c>
      <c r="V209" s="52">
        <v>1</v>
      </c>
      <c r="W209" s="25"/>
      <c r="X209" s="66">
        <f t="shared" si="9"/>
        <v>2000</v>
      </c>
      <c r="Z209" s="84"/>
    </row>
    <row r="210" spans="1:28" ht="49.5" customHeight="1">
      <c r="A210" s="2">
        <v>209</v>
      </c>
      <c r="B210" s="105" t="s">
        <v>1310</v>
      </c>
      <c r="C210" s="105" t="s">
        <v>66</v>
      </c>
      <c r="D210" s="105">
        <v>16</v>
      </c>
      <c r="E210" s="105" t="s">
        <v>183</v>
      </c>
      <c r="F210" s="105">
        <v>131</v>
      </c>
      <c r="G210" s="105" t="s">
        <v>208</v>
      </c>
      <c r="H210" s="105" t="s">
        <v>697</v>
      </c>
      <c r="I210" s="105" t="s">
        <v>698</v>
      </c>
      <c r="J210" s="105">
        <v>330</v>
      </c>
      <c r="K210" s="105" t="s">
        <v>24</v>
      </c>
      <c r="L210" s="105" t="s">
        <v>25</v>
      </c>
      <c r="M210" s="105" t="s">
        <v>26</v>
      </c>
      <c r="N210" s="105" t="s">
        <v>26</v>
      </c>
      <c r="O210" s="105" t="s">
        <v>26</v>
      </c>
      <c r="P210" s="106">
        <v>20</v>
      </c>
      <c r="Q210" s="105" t="s">
        <v>35</v>
      </c>
      <c r="R210" s="105" t="s">
        <v>699</v>
      </c>
      <c r="S210" s="105" t="s">
        <v>700</v>
      </c>
      <c r="T210" s="105" t="s">
        <v>697</v>
      </c>
      <c r="U210" s="108">
        <v>0</v>
      </c>
      <c r="V210" s="109">
        <v>1</v>
      </c>
      <c r="W210" s="25"/>
      <c r="X210" s="66">
        <f t="shared" si="9"/>
        <v>330</v>
      </c>
      <c r="Z210" s="84">
        <f t="shared" ref="Z210:Z241" si="11">J210-X210</f>
        <v>0</v>
      </c>
    </row>
    <row r="211" spans="1:28" ht="49.5" customHeight="1" thickBot="1">
      <c r="A211" s="2">
        <v>210</v>
      </c>
      <c r="B211" s="2" t="s">
        <v>1310</v>
      </c>
      <c r="C211" s="2" t="s">
        <v>66</v>
      </c>
      <c r="D211" s="2">
        <v>16</v>
      </c>
      <c r="E211" s="2" t="s">
        <v>183</v>
      </c>
      <c r="F211" s="2">
        <v>131</v>
      </c>
      <c r="G211" s="2" t="s">
        <v>208</v>
      </c>
      <c r="H211" s="2" t="s">
        <v>701</v>
      </c>
      <c r="I211" s="2" t="s">
        <v>490</v>
      </c>
      <c r="J211" s="2">
        <v>1430</v>
      </c>
      <c r="K211" s="2" t="s">
        <v>24</v>
      </c>
      <c r="L211" s="2" t="s">
        <v>25</v>
      </c>
      <c r="M211" s="2" t="s">
        <v>26</v>
      </c>
      <c r="N211" s="2" t="s">
        <v>26</v>
      </c>
      <c r="O211" s="2" t="s">
        <v>26</v>
      </c>
      <c r="P211" s="13">
        <v>20</v>
      </c>
      <c r="Q211" s="2" t="s">
        <v>35</v>
      </c>
      <c r="R211" s="2" t="s">
        <v>699</v>
      </c>
      <c r="S211" s="2" t="s">
        <v>700</v>
      </c>
      <c r="T211" s="2" t="s">
        <v>701</v>
      </c>
      <c r="U211" s="10">
        <v>0</v>
      </c>
      <c r="V211" s="52">
        <v>1</v>
      </c>
      <c r="W211" s="25"/>
      <c r="X211" s="66">
        <f t="shared" si="9"/>
        <v>1430</v>
      </c>
      <c r="Z211" s="84">
        <f t="shared" si="11"/>
        <v>0</v>
      </c>
      <c r="AA211" s="94"/>
    </row>
    <row r="212" spans="1:28" ht="49.5" customHeight="1" thickBot="1">
      <c r="A212" s="2">
        <v>211</v>
      </c>
      <c r="B212" s="53" t="s">
        <v>1310</v>
      </c>
      <c r="C212" s="53" t="s">
        <v>66</v>
      </c>
      <c r="D212" s="53">
        <v>13</v>
      </c>
      <c r="E212" s="53" t="s">
        <v>459</v>
      </c>
      <c r="F212" s="53">
        <v>129</v>
      </c>
      <c r="G212" s="53" t="s">
        <v>464</v>
      </c>
      <c r="H212" s="53" t="s">
        <v>680</v>
      </c>
      <c r="I212" s="53" t="s">
        <v>681</v>
      </c>
      <c r="J212" s="53">
        <v>2400</v>
      </c>
      <c r="K212" s="53" t="s">
        <v>24</v>
      </c>
      <c r="L212" s="53" t="s">
        <v>25</v>
      </c>
      <c r="M212" s="53" t="s">
        <v>215</v>
      </c>
      <c r="N212" s="53" t="s">
        <v>26</v>
      </c>
      <c r="O212" s="53" t="s">
        <v>26</v>
      </c>
      <c r="P212" s="86">
        <v>20</v>
      </c>
      <c r="Q212" s="53" t="s">
        <v>35</v>
      </c>
      <c r="R212" s="53" t="s">
        <v>682</v>
      </c>
      <c r="S212" s="53" t="s">
        <v>683</v>
      </c>
      <c r="T212" s="53" t="s">
        <v>680</v>
      </c>
      <c r="U212" s="63">
        <v>0</v>
      </c>
      <c r="V212" s="64">
        <v>1</v>
      </c>
      <c r="W212" s="54"/>
      <c r="X212" s="67">
        <f t="shared" si="9"/>
        <v>2400</v>
      </c>
      <c r="Z212" s="87">
        <f t="shared" si="11"/>
        <v>0</v>
      </c>
      <c r="AA212" s="119">
        <f>SUM(Z175:Z212)</f>
        <v>24107</v>
      </c>
      <c r="AB212" s="93">
        <f>SUM(J175:J212)</f>
        <v>154527</v>
      </c>
    </row>
    <row r="213" spans="1:28" ht="49.5" customHeight="1">
      <c r="A213" s="2">
        <v>212</v>
      </c>
      <c r="B213" s="105" t="s">
        <v>18</v>
      </c>
      <c r="C213" s="105" t="s">
        <v>70</v>
      </c>
      <c r="D213" s="105">
        <v>13</v>
      </c>
      <c r="E213" s="105" t="s">
        <v>1189</v>
      </c>
      <c r="F213" s="105">
        <v>124</v>
      </c>
      <c r="G213" s="105" t="s">
        <v>704</v>
      </c>
      <c r="H213" s="105" t="s">
        <v>702</v>
      </c>
      <c r="I213" s="105" t="s">
        <v>1190</v>
      </c>
      <c r="J213" s="105">
        <v>15484</v>
      </c>
      <c r="K213" s="105" t="s">
        <v>24</v>
      </c>
      <c r="L213" s="105" t="s">
        <v>703</v>
      </c>
      <c r="M213" s="105" t="s">
        <v>1293</v>
      </c>
      <c r="N213" s="105" t="s">
        <v>26</v>
      </c>
      <c r="O213" s="105" t="s">
        <v>26</v>
      </c>
      <c r="P213" s="105"/>
      <c r="Q213" s="105" t="s">
        <v>1294</v>
      </c>
      <c r="R213" s="105" t="s">
        <v>293</v>
      </c>
      <c r="S213" s="105" t="s">
        <v>1295</v>
      </c>
      <c r="T213" s="105" t="s">
        <v>704</v>
      </c>
      <c r="U213" s="108">
        <v>0</v>
      </c>
      <c r="V213" s="109">
        <v>1</v>
      </c>
      <c r="W213" s="25"/>
      <c r="X213" s="66">
        <f t="shared" si="9"/>
        <v>15484</v>
      </c>
      <c r="Y213" s="84"/>
      <c r="Z213" s="84">
        <f t="shared" si="11"/>
        <v>0</v>
      </c>
    </row>
    <row r="214" spans="1:28" ht="49.5" customHeight="1">
      <c r="A214" s="2">
        <v>213</v>
      </c>
      <c r="B214" s="2" t="s">
        <v>18</v>
      </c>
      <c r="C214" s="2" t="s">
        <v>70</v>
      </c>
      <c r="D214" s="2">
        <v>19</v>
      </c>
      <c r="E214" s="2" t="s">
        <v>323</v>
      </c>
      <c r="F214" s="2">
        <v>157</v>
      </c>
      <c r="G214" s="2" t="s">
        <v>705</v>
      </c>
      <c r="H214" s="2" t="s">
        <v>706</v>
      </c>
      <c r="I214" s="2" t="s">
        <v>707</v>
      </c>
      <c r="J214" s="2">
        <v>1500</v>
      </c>
      <c r="K214" s="2" t="s">
        <v>24</v>
      </c>
      <c r="L214" s="2" t="s">
        <v>25</v>
      </c>
      <c r="M214" s="2" t="s">
        <v>26</v>
      </c>
      <c r="N214" s="2" t="s">
        <v>26</v>
      </c>
      <c r="O214" s="2" t="s">
        <v>26</v>
      </c>
      <c r="P214" s="13">
        <v>100</v>
      </c>
      <c r="Q214" s="2" t="s">
        <v>35</v>
      </c>
      <c r="R214" s="2" t="s">
        <v>293</v>
      </c>
      <c r="S214" s="2" t="s">
        <v>708</v>
      </c>
      <c r="T214" s="2" t="s">
        <v>709</v>
      </c>
      <c r="U214" s="10">
        <v>0</v>
      </c>
      <c r="V214" s="52">
        <v>1</v>
      </c>
      <c r="W214" s="25"/>
      <c r="X214" s="66">
        <f t="shared" si="9"/>
        <v>1500</v>
      </c>
      <c r="Y214" s="84"/>
      <c r="Z214" s="84">
        <f t="shared" si="11"/>
        <v>0</v>
      </c>
    </row>
    <row r="215" spans="1:28" ht="49.5" customHeight="1">
      <c r="A215" s="2">
        <v>214</v>
      </c>
      <c r="B215" s="105" t="s">
        <v>18</v>
      </c>
      <c r="C215" s="105" t="s">
        <v>70</v>
      </c>
      <c r="D215" s="105">
        <v>19</v>
      </c>
      <c r="E215" s="105" t="s">
        <v>323</v>
      </c>
      <c r="F215" s="105">
        <v>157</v>
      </c>
      <c r="G215" s="105" t="s">
        <v>705</v>
      </c>
      <c r="H215" s="105" t="s">
        <v>710</v>
      </c>
      <c r="I215" s="105" t="s">
        <v>711</v>
      </c>
      <c r="J215" s="105">
        <v>1700</v>
      </c>
      <c r="K215" s="105" t="s">
        <v>24</v>
      </c>
      <c r="L215" s="105" t="s">
        <v>176</v>
      </c>
      <c r="M215" s="105" t="s">
        <v>26</v>
      </c>
      <c r="N215" s="105" t="s">
        <v>26</v>
      </c>
      <c r="O215" s="105" t="s">
        <v>26</v>
      </c>
      <c r="P215" s="106">
        <v>100</v>
      </c>
      <c r="Q215" s="105" t="s">
        <v>35</v>
      </c>
      <c r="R215" s="105" t="s">
        <v>293</v>
      </c>
      <c r="S215" s="105" t="s">
        <v>708</v>
      </c>
      <c r="T215" s="105" t="s">
        <v>710</v>
      </c>
      <c r="U215" s="108">
        <v>0.1</v>
      </c>
      <c r="V215" s="109">
        <v>0.9</v>
      </c>
      <c r="W215" s="25"/>
      <c r="X215" s="66">
        <f t="shared" si="9"/>
        <v>1530</v>
      </c>
      <c r="Z215" s="84">
        <f t="shared" si="11"/>
        <v>170</v>
      </c>
    </row>
    <row r="216" spans="1:28" ht="49.5" customHeight="1">
      <c r="A216" s="2">
        <v>215</v>
      </c>
      <c r="B216" s="2" t="s">
        <v>18</v>
      </c>
      <c r="C216" s="2" t="s">
        <v>70</v>
      </c>
      <c r="D216" s="2">
        <v>19</v>
      </c>
      <c r="E216" s="2" t="s">
        <v>323</v>
      </c>
      <c r="F216" s="2">
        <v>161</v>
      </c>
      <c r="G216" s="2" t="s">
        <v>712</v>
      </c>
      <c r="H216" s="14" t="s">
        <v>713</v>
      </c>
      <c r="I216" s="2" t="s">
        <v>714</v>
      </c>
      <c r="J216" s="2">
        <v>600</v>
      </c>
      <c r="K216" s="2" t="s">
        <v>24</v>
      </c>
      <c r="L216" s="2" t="s">
        <v>176</v>
      </c>
      <c r="M216" s="2" t="s">
        <v>215</v>
      </c>
      <c r="N216" s="2" t="s">
        <v>26</v>
      </c>
      <c r="O216" s="2" t="s">
        <v>26</v>
      </c>
      <c r="P216" s="13">
        <v>80</v>
      </c>
      <c r="Q216" s="2" t="s">
        <v>35</v>
      </c>
      <c r="R216" s="2" t="s">
        <v>177</v>
      </c>
      <c r="S216" s="16" t="s">
        <v>203</v>
      </c>
      <c r="T216" s="2" t="s">
        <v>715</v>
      </c>
      <c r="U216" s="10">
        <v>0</v>
      </c>
      <c r="V216" s="52">
        <v>1</v>
      </c>
      <c r="W216" s="25"/>
      <c r="X216" s="66">
        <f t="shared" si="9"/>
        <v>600</v>
      </c>
      <c r="Z216" s="84">
        <f t="shared" si="11"/>
        <v>0</v>
      </c>
    </row>
    <row r="217" spans="1:28" ht="49.5" customHeight="1">
      <c r="A217" s="2">
        <v>216</v>
      </c>
      <c r="B217" s="2" t="s">
        <v>18</v>
      </c>
      <c r="C217" s="2" t="s">
        <v>70</v>
      </c>
      <c r="D217" s="2">
        <v>19</v>
      </c>
      <c r="E217" s="2" t="s">
        <v>323</v>
      </c>
      <c r="F217" s="2">
        <v>157</v>
      </c>
      <c r="G217" s="2" t="s">
        <v>705</v>
      </c>
      <c r="H217" s="2" t="s">
        <v>1200</v>
      </c>
      <c r="I217" s="2" t="s">
        <v>1201</v>
      </c>
      <c r="J217" s="2">
        <v>200</v>
      </c>
      <c r="K217" s="2" t="s">
        <v>24</v>
      </c>
      <c r="L217" s="2" t="s">
        <v>25</v>
      </c>
      <c r="M217" s="2" t="s">
        <v>26</v>
      </c>
      <c r="N217" s="2" t="s">
        <v>26</v>
      </c>
      <c r="O217" s="2" t="s">
        <v>26</v>
      </c>
      <c r="P217" s="13"/>
      <c r="Q217" s="2" t="s">
        <v>1253</v>
      </c>
      <c r="R217" s="2" t="s">
        <v>293</v>
      </c>
      <c r="S217" s="2" t="s">
        <v>708</v>
      </c>
      <c r="T217" s="2"/>
      <c r="U217" s="10">
        <v>1</v>
      </c>
      <c r="V217" s="52">
        <v>0</v>
      </c>
      <c r="W217" s="25"/>
      <c r="X217" s="66">
        <f t="shared" si="9"/>
        <v>0</v>
      </c>
      <c r="Z217" s="84">
        <f t="shared" si="11"/>
        <v>200</v>
      </c>
    </row>
    <row r="218" spans="1:28" ht="49.5" customHeight="1">
      <c r="A218" s="2">
        <v>217</v>
      </c>
      <c r="B218" s="2" t="s">
        <v>297</v>
      </c>
      <c r="C218" s="2" t="s">
        <v>70</v>
      </c>
      <c r="D218" s="2">
        <v>19</v>
      </c>
      <c r="E218" s="2" t="s">
        <v>323</v>
      </c>
      <c r="F218" s="2">
        <v>161</v>
      </c>
      <c r="G218" s="2" t="s">
        <v>712</v>
      </c>
      <c r="H218" s="2" t="s">
        <v>716</v>
      </c>
      <c r="I218" s="2">
        <v>3783</v>
      </c>
      <c r="J218" s="17">
        <v>7800</v>
      </c>
      <c r="K218" s="2" t="s">
        <v>89</v>
      </c>
      <c r="L218" s="2" t="s">
        <v>176</v>
      </c>
      <c r="M218" s="2" t="s">
        <v>26</v>
      </c>
      <c r="N218" s="2" t="s">
        <v>26</v>
      </c>
      <c r="O218" s="2" t="s">
        <v>26</v>
      </c>
      <c r="P218" s="2" t="s">
        <v>298</v>
      </c>
      <c r="Q218" s="2" t="s">
        <v>35</v>
      </c>
      <c r="R218" s="2" t="s">
        <v>717</v>
      </c>
      <c r="S218" s="2" t="s">
        <v>718</v>
      </c>
      <c r="T218" s="2" t="s">
        <v>719</v>
      </c>
      <c r="U218" s="10">
        <v>0</v>
      </c>
      <c r="V218" s="52">
        <v>1</v>
      </c>
      <c r="W218" s="25"/>
      <c r="X218" s="66">
        <f t="shared" si="9"/>
        <v>7800</v>
      </c>
      <c r="Z218" s="84">
        <f t="shared" si="11"/>
        <v>0</v>
      </c>
    </row>
    <row r="219" spans="1:28" ht="49.5" customHeight="1">
      <c r="A219" s="2">
        <v>218</v>
      </c>
      <c r="B219" s="2" t="s">
        <v>297</v>
      </c>
      <c r="C219" s="2" t="s">
        <v>70</v>
      </c>
      <c r="D219" s="2">
        <v>19</v>
      </c>
      <c r="E219" s="2" t="s">
        <v>323</v>
      </c>
      <c r="F219" s="2">
        <v>161</v>
      </c>
      <c r="G219" s="2" t="s">
        <v>712</v>
      </c>
      <c r="H219" s="2" t="s">
        <v>716</v>
      </c>
      <c r="I219" s="2" t="s">
        <v>720</v>
      </c>
      <c r="J219" s="17">
        <v>432</v>
      </c>
      <c r="K219" s="2" t="s">
        <v>89</v>
      </c>
      <c r="L219" s="2" t="s">
        <v>176</v>
      </c>
      <c r="M219" s="2" t="s">
        <v>26</v>
      </c>
      <c r="N219" s="2" t="s">
        <v>26</v>
      </c>
      <c r="O219" s="2" t="s">
        <v>26</v>
      </c>
      <c r="P219" s="2" t="s">
        <v>298</v>
      </c>
      <c r="Q219" s="2" t="s">
        <v>35</v>
      </c>
      <c r="R219" s="2" t="s">
        <v>717</v>
      </c>
      <c r="S219" s="2" t="s">
        <v>718</v>
      </c>
      <c r="T219" s="2" t="s">
        <v>719</v>
      </c>
      <c r="U219" s="10">
        <v>0</v>
      </c>
      <c r="V219" s="52">
        <v>1</v>
      </c>
      <c r="W219" s="25"/>
      <c r="X219" s="66">
        <f t="shared" si="9"/>
        <v>432</v>
      </c>
      <c r="Z219" s="84">
        <f t="shared" si="11"/>
        <v>0</v>
      </c>
    </row>
    <row r="220" spans="1:28" ht="49.5" customHeight="1">
      <c r="A220" s="2">
        <v>219</v>
      </c>
      <c r="B220" s="2" t="s">
        <v>297</v>
      </c>
      <c r="C220" s="2" t="s">
        <v>70</v>
      </c>
      <c r="D220" s="2">
        <v>19</v>
      </c>
      <c r="E220" s="2" t="s">
        <v>323</v>
      </c>
      <c r="F220" s="2">
        <v>161</v>
      </c>
      <c r="G220" s="2" t="s">
        <v>712</v>
      </c>
      <c r="H220" s="2" t="s">
        <v>716</v>
      </c>
      <c r="I220" s="2" t="s">
        <v>721</v>
      </c>
      <c r="J220" s="17">
        <v>436</v>
      </c>
      <c r="K220" s="2" t="s">
        <v>89</v>
      </c>
      <c r="L220" s="2" t="s">
        <v>176</v>
      </c>
      <c r="M220" s="2" t="s">
        <v>26</v>
      </c>
      <c r="N220" s="2" t="s">
        <v>26</v>
      </c>
      <c r="O220" s="2" t="s">
        <v>26</v>
      </c>
      <c r="P220" s="2" t="s">
        <v>298</v>
      </c>
      <c r="Q220" s="2" t="s">
        <v>35</v>
      </c>
      <c r="R220" s="2" t="s">
        <v>717</v>
      </c>
      <c r="S220" s="2" t="s">
        <v>718</v>
      </c>
      <c r="T220" s="2" t="s">
        <v>719</v>
      </c>
      <c r="U220" s="10">
        <v>0</v>
      </c>
      <c r="V220" s="52">
        <v>1</v>
      </c>
      <c r="W220" s="25"/>
      <c r="X220" s="66">
        <f t="shared" si="9"/>
        <v>436</v>
      </c>
      <c r="Z220" s="84">
        <f t="shared" si="11"/>
        <v>0</v>
      </c>
    </row>
    <row r="221" spans="1:28" ht="49.5" customHeight="1">
      <c r="A221" s="2">
        <v>220</v>
      </c>
      <c r="B221" s="2" t="s">
        <v>1310</v>
      </c>
      <c r="C221" s="2" t="s">
        <v>70</v>
      </c>
      <c r="D221" s="2">
        <v>13</v>
      </c>
      <c r="E221" s="2" t="s">
        <v>459</v>
      </c>
      <c r="F221" s="2">
        <v>124</v>
      </c>
      <c r="G221" s="2" t="s">
        <v>663</v>
      </c>
      <c r="H221" s="2" t="s">
        <v>722</v>
      </c>
      <c r="I221" s="2" t="s">
        <v>723</v>
      </c>
      <c r="J221" s="23">
        <v>2000</v>
      </c>
      <c r="K221" s="2" t="s">
        <v>24</v>
      </c>
      <c r="L221" s="2" t="s">
        <v>25</v>
      </c>
      <c r="M221" s="2" t="s">
        <v>215</v>
      </c>
      <c r="N221" s="2" t="s">
        <v>26</v>
      </c>
      <c r="O221" s="2" t="s">
        <v>26</v>
      </c>
      <c r="P221" s="13">
        <v>20</v>
      </c>
      <c r="Q221" s="2" t="s">
        <v>35</v>
      </c>
      <c r="R221" s="2" t="s">
        <v>675</v>
      </c>
      <c r="S221" s="2" t="s">
        <v>676</v>
      </c>
      <c r="T221" s="2" t="s">
        <v>724</v>
      </c>
      <c r="U221" s="10">
        <v>0.5</v>
      </c>
      <c r="V221" s="52">
        <v>0.5</v>
      </c>
      <c r="W221" s="25"/>
      <c r="X221" s="66">
        <f t="shared" si="9"/>
        <v>1000</v>
      </c>
      <c r="Z221" s="84">
        <f t="shared" si="11"/>
        <v>1000</v>
      </c>
    </row>
    <row r="222" spans="1:28" ht="49.5" customHeight="1">
      <c r="A222" s="2">
        <v>221</v>
      </c>
      <c r="B222" s="2" t="s">
        <v>1310</v>
      </c>
      <c r="C222" s="2" t="s">
        <v>70</v>
      </c>
      <c r="D222" s="2">
        <v>19</v>
      </c>
      <c r="E222" s="2" t="s">
        <v>323</v>
      </c>
      <c r="F222" s="2">
        <v>163</v>
      </c>
      <c r="G222" s="2" t="s">
        <v>725</v>
      </c>
      <c r="H222" s="2" t="s">
        <v>726</v>
      </c>
      <c r="I222" s="2" t="s">
        <v>727</v>
      </c>
      <c r="J222" s="23">
        <v>500</v>
      </c>
      <c r="K222" s="2" t="s">
        <v>24</v>
      </c>
      <c r="L222" s="2" t="s">
        <v>25</v>
      </c>
      <c r="M222" s="2" t="s">
        <v>26</v>
      </c>
      <c r="N222" s="2" t="s">
        <v>26</v>
      </c>
      <c r="O222" s="2" t="s">
        <v>26</v>
      </c>
      <c r="P222" s="13">
        <v>20</v>
      </c>
      <c r="Q222" s="2" t="s">
        <v>35</v>
      </c>
      <c r="R222" s="2" t="s">
        <v>728</v>
      </c>
      <c r="S222" s="2" t="s">
        <v>729</v>
      </c>
      <c r="T222" s="2" t="s">
        <v>730</v>
      </c>
      <c r="U222" s="10">
        <v>0.5</v>
      </c>
      <c r="V222" s="52">
        <v>0</v>
      </c>
      <c r="W222" s="25"/>
      <c r="X222" s="66">
        <f t="shared" si="9"/>
        <v>0</v>
      </c>
      <c r="Z222" s="84">
        <f t="shared" si="11"/>
        <v>500</v>
      </c>
    </row>
    <row r="223" spans="1:28" ht="49.5" customHeight="1" thickBot="1">
      <c r="A223" s="2">
        <v>222</v>
      </c>
      <c r="B223" s="2" t="s">
        <v>1310</v>
      </c>
      <c r="C223" s="2" t="s">
        <v>70</v>
      </c>
      <c r="D223" s="2">
        <v>19</v>
      </c>
      <c r="E223" s="2" t="s">
        <v>323</v>
      </c>
      <c r="F223" s="2">
        <v>163</v>
      </c>
      <c r="G223" s="2" t="s">
        <v>725</v>
      </c>
      <c r="H223" s="2" t="s">
        <v>731</v>
      </c>
      <c r="I223" s="2" t="s">
        <v>732</v>
      </c>
      <c r="J223" s="23">
        <v>2500</v>
      </c>
      <c r="K223" s="2" t="s">
        <v>24</v>
      </c>
      <c r="L223" s="2" t="s">
        <v>25</v>
      </c>
      <c r="M223" s="2" t="s">
        <v>215</v>
      </c>
      <c r="N223" s="2" t="s">
        <v>26</v>
      </c>
      <c r="O223" s="2" t="s">
        <v>26</v>
      </c>
      <c r="P223" s="13">
        <v>20</v>
      </c>
      <c r="Q223" s="2" t="s">
        <v>35</v>
      </c>
      <c r="R223" s="2" t="s">
        <v>733</v>
      </c>
      <c r="S223" s="2" t="s">
        <v>734</v>
      </c>
      <c r="T223" s="2" t="s">
        <v>735</v>
      </c>
      <c r="U223" s="10">
        <v>0.9</v>
      </c>
      <c r="V223" s="52">
        <v>0</v>
      </c>
      <c r="W223" s="25"/>
      <c r="X223" s="66">
        <f t="shared" si="9"/>
        <v>0</v>
      </c>
      <c r="Z223" s="84">
        <f t="shared" si="11"/>
        <v>2500</v>
      </c>
    </row>
    <row r="224" spans="1:28" ht="49.5" customHeight="1" thickBot="1">
      <c r="A224" s="2">
        <v>223</v>
      </c>
      <c r="B224" s="53" t="s">
        <v>1310</v>
      </c>
      <c r="C224" s="53" t="s">
        <v>70</v>
      </c>
      <c r="D224" s="53">
        <v>19</v>
      </c>
      <c r="E224" s="53" t="s">
        <v>323</v>
      </c>
      <c r="F224" s="53">
        <v>164</v>
      </c>
      <c r="G224" s="53" t="s">
        <v>352</v>
      </c>
      <c r="H224" s="53" t="s">
        <v>736</v>
      </c>
      <c r="I224" s="53" t="s">
        <v>737</v>
      </c>
      <c r="J224" s="90">
        <v>500</v>
      </c>
      <c r="K224" s="53" t="s">
        <v>24</v>
      </c>
      <c r="L224" s="53" t="s">
        <v>25</v>
      </c>
      <c r="M224" s="53" t="s">
        <v>215</v>
      </c>
      <c r="N224" s="53" t="s">
        <v>26</v>
      </c>
      <c r="O224" s="53" t="s">
        <v>26</v>
      </c>
      <c r="P224" s="86">
        <v>20</v>
      </c>
      <c r="Q224" s="53" t="s">
        <v>35</v>
      </c>
      <c r="R224" s="53" t="s">
        <v>728</v>
      </c>
      <c r="S224" s="53" t="s">
        <v>729</v>
      </c>
      <c r="T224" s="53" t="s">
        <v>738</v>
      </c>
      <c r="U224" s="63">
        <v>0.4</v>
      </c>
      <c r="V224" s="64">
        <v>0.6</v>
      </c>
      <c r="W224" s="54"/>
      <c r="X224" s="67">
        <f t="shared" si="9"/>
        <v>300</v>
      </c>
      <c r="Z224" s="87">
        <f t="shared" si="11"/>
        <v>200</v>
      </c>
      <c r="AA224" s="119">
        <f>SUM(Z213:Z224)</f>
        <v>4570</v>
      </c>
      <c r="AB224" s="93">
        <f>SUM(J213:J224)</f>
        <v>33652</v>
      </c>
    </row>
    <row r="225" spans="1:27" ht="49.5" customHeight="1">
      <c r="A225" s="2">
        <v>224</v>
      </c>
      <c r="B225" s="113" t="s">
        <v>18</v>
      </c>
      <c r="C225" s="113" t="s">
        <v>75</v>
      </c>
      <c r="D225" s="113">
        <v>30</v>
      </c>
      <c r="E225" s="113" t="s">
        <v>739</v>
      </c>
      <c r="F225" s="113">
        <v>212</v>
      </c>
      <c r="G225" s="113" t="s">
        <v>740</v>
      </c>
      <c r="H225" s="113" t="s">
        <v>741</v>
      </c>
      <c r="I225" s="113" t="s">
        <v>742</v>
      </c>
      <c r="J225" s="113">
        <v>1262</v>
      </c>
      <c r="K225" s="113" t="s">
        <v>24</v>
      </c>
      <c r="L225" s="113" t="s">
        <v>82</v>
      </c>
      <c r="M225" s="113" t="s">
        <v>26</v>
      </c>
      <c r="N225" s="113" t="s">
        <v>26</v>
      </c>
      <c r="O225" s="113" t="s">
        <v>26</v>
      </c>
      <c r="P225" s="114"/>
      <c r="Q225" s="113" t="s">
        <v>743</v>
      </c>
      <c r="R225" s="113" t="s">
        <v>28</v>
      </c>
      <c r="S225" s="113" t="s">
        <v>744</v>
      </c>
      <c r="T225" s="113"/>
      <c r="U225" s="115">
        <v>1</v>
      </c>
      <c r="V225" s="116">
        <v>0</v>
      </c>
      <c r="W225" s="25"/>
      <c r="X225" s="66">
        <f t="shared" si="9"/>
        <v>0</v>
      </c>
      <c r="Y225" s="84"/>
      <c r="Z225" s="84">
        <f t="shared" si="11"/>
        <v>1262</v>
      </c>
    </row>
    <row r="226" spans="1:27" ht="49.5" customHeight="1">
      <c r="A226" s="2">
        <v>225</v>
      </c>
      <c r="B226" s="2" t="s">
        <v>18</v>
      </c>
      <c r="C226" s="2" t="s">
        <v>75</v>
      </c>
      <c r="D226" s="2">
        <v>30</v>
      </c>
      <c r="E226" s="110" t="s">
        <v>739</v>
      </c>
      <c r="F226" s="2">
        <v>223</v>
      </c>
      <c r="G226" s="2" t="s">
        <v>745</v>
      </c>
      <c r="H226" s="2" t="s">
        <v>746</v>
      </c>
      <c r="I226" s="2" t="s">
        <v>747</v>
      </c>
      <c r="J226" s="2">
        <v>336</v>
      </c>
      <c r="K226" s="2" t="s">
        <v>24</v>
      </c>
      <c r="L226" s="110" t="s">
        <v>82</v>
      </c>
      <c r="M226" s="110" t="s">
        <v>26</v>
      </c>
      <c r="N226" s="110" t="s">
        <v>26</v>
      </c>
      <c r="O226" s="110" t="s">
        <v>26</v>
      </c>
      <c r="P226" s="13"/>
      <c r="Q226" s="2" t="s">
        <v>748</v>
      </c>
      <c r="R226" s="2" t="s">
        <v>28</v>
      </c>
      <c r="S226" s="2" t="s">
        <v>744</v>
      </c>
      <c r="T226" s="2"/>
      <c r="U226" s="10">
        <v>1</v>
      </c>
      <c r="V226" s="117">
        <v>0</v>
      </c>
      <c r="W226" s="25"/>
      <c r="X226" s="66">
        <f t="shared" si="9"/>
        <v>0</v>
      </c>
      <c r="Y226" s="84"/>
      <c r="Z226" s="84">
        <f t="shared" si="11"/>
        <v>336</v>
      </c>
    </row>
    <row r="227" spans="1:27" ht="49.5" customHeight="1">
      <c r="A227" s="2">
        <v>226</v>
      </c>
      <c r="B227" s="105" t="s">
        <v>18</v>
      </c>
      <c r="C227" s="105" t="s">
        <v>75</v>
      </c>
      <c r="D227" s="105">
        <v>30</v>
      </c>
      <c r="E227" s="105" t="s">
        <v>739</v>
      </c>
      <c r="F227" s="105">
        <v>223</v>
      </c>
      <c r="G227" s="105" t="s">
        <v>745</v>
      </c>
      <c r="H227" s="105" t="s">
        <v>746</v>
      </c>
      <c r="I227" s="105" t="s">
        <v>749</v>
      </c>
      <c r="J227" s="105">
        <v>60</v>
      </c>
      <c r="K227" s="105" t="s">
        <v>24</v>
      </c>
      <c r="L227" s="105" t="s">
        <v>82</v>
      </c>
      <c r="M227" s="105" t="s">
        <v>26</v>
      </c>
      <c r="N227" s="105" t="s">
        <v>26</v>
      </c>
      <c r="O227" s="105" t="s">
        <v>26</v>
      </c>
      <c r="P227" s="106"/>
      <c r="Q227" s="105" t="s">
        <v>750</v>
      </c>
      <c r="R227" s="105" t="s">
        <v>28</v>
      </c>
      <c r="S227" s="105" t="s">
        <v>751</v>
      </c>
      <c r="T227" s="105"/>
      <c r="U227" s="108">
        <v>1</v>
      </c>
      <c r="V227" s="109">
        <v>0</v>
      </c>
      <c r="W227" s="25"/>
      <c r="X227" s="66">
        <f t="shared" si="9"/>
        <v>0</v>
      </c>
      <c r="Z227" s="84">
        <f t="shared" si="11"/>
        <v>60</v>
      </c>
    </row>
    <row r="228" spans="1:27" ht="49.5" customHeight="1">
      <c r="A228" s="2">
        <v>227</v>
      </c>
      <c r="B228" s="2" t="s">
        <v>18</v>
      </c>
      <c r="C228" s="2" t="s">
        <v>75</v>
      </c>
      <c r="D228" s="2">
        <v>30</v>
      </c>
      <c r="E228" s="2" t="s">
        <v>739</v>
      </c>
      <c r="F228" s="2">
        <v>220</v>
      </c>
      <c r="G228" s="2" t="s">
        <v>752</v>
      </c>
      <c r="H228" s="2" t="s">
        <v>753</v>
      </c>
      <c r="I228" s="2" t="s">
        <v>754</v>
      </c>
      <c r="J228" s="2">
        <v>1446</v>
      </c>
      <c r="K228" s="2" t="s">
        <v>24</v>
      </c>
      <c r="L228" s="2" t="s">
        <v>82</v>
      </c>
      <c r="M228" s="2" t="s">
        <v>26</v>
      </c>
      <c r="N228" s="2" t="s">
        <v>26</v>
      </c>
      <c r="O228" s="2" t="s">
        <v>26</v>
      </c>
      <c r="P228" s="13"/>
      <c r="Q228" s="2" t="s">
        <v>755</v>
      </c>
      <c r="R228" s="2" t="s">
        <v>28</v>
      </c>
      <c r="S228" s="2" t="s">
        <v>744</v>
      </c>
      <c r="T228" s="2"/>
      <c r="U228" s="10">
        <v>1</v>
      </c>
      <c r="V228" s="52">
        <v>0</v>
      </c>
      <c r="W228" s="25"/>
      <c r="X228" s="66">
        <f t="shared" si="9"/>
        <v>0</v>
      </c>
      <c r="Z228" s="84">
        <f t="shared" si="11"/>
        <v>1446</v>
      </c>
    </row>
    <row r="229" spans="1:27" s="12" customFormat="1" ht="49.5" customHeight="1">
      <c r="A229" s="2">
        <v>228</v>
      </c>
      <c r="B229" s="2" t="s">
        <v>18</v>
      </c>
      <c r="C229" s="2" t="s">
        <v>75</v>
      </c>
      <c r="D229" s="2">
        <v>30</v>
      </c>
      <c r="E229" s="2" t="s">
        <v>739</v>
      </c>
      <c r="F229" s="2">
        <v>221</v>
      </c>
      <c r="G229" s="2" t="s">
        <v>756</v>
      </c>
      <c r="H229" s="2" t="s">
        <v>757</v>
      </c>
      <c r="I229" s="2">
        <v>1001</v>
      </c>
      <c r="J229" s="2">
        <v>1446</v>
      </c>
      <c r="K229" s="2" t="s">
        <v>24</v>
      </c>
      <c r="L229" s="2" t="s">
        <v>82</v>
      </c>
      <c r="M229" s="2" t="s">
        <v>26</v>
      </c>
      <c r="N229" s="2" t="s">
        <v>26</v>
      </c>
      <c r="O229" s="2" t="s">
        <v>26</v>
      </c>
      <c r="P229" s="13"/>
      <c r="Q229" s="2" t="s">
        <v>758</v>
      </c>
      <c r="R229" s="2" t="s">
        <v>28</v>
      </c>
      <c r="S229" s="2" t="s">
        <v>744</v>
      </c>
      <c r="T229" s="2"/>
      <c r="U229" s="10">
        <v>0.2</v>
      </c>
      <c r="V229" s="52">
        <v>0.8</v>
      </c>
      <c r="W229" s="25"/>
      <c r="X229" s="66">
        <f t="shared" si="9"/>
        <v>1156.8</v>
      </c>
      <c r="Y229" s="25"/>
      <c r="Z229" s="84">
        <f t="shared" si="11"/>
        <v>289.20000000000005</v>
      </c>
      <c r="AA229" s="24"/>
    </row>
    <row r="230" spans="1:27" ht="49.5" customHeight="1">
      <c r="A230" s="2">
        <v>229</v>
      </c>
      <c r="B230" s="2" t="s">
        <v>18</v>
      </c>
      <c r="C230" s="2" t="s">
        <v>75</v>
      </c>
      <c r="D230" s="2">
        <v>30</v>
      </c>
      <c r="E230" s="2" t="s">
        <v>739</v>
      </c>
      <c r="F230" s="2">
        <v>212</v>
      </c>
      <c r="G230" s="2" t="s">
        <v>740</v>
      </c>
      <c r="H230" s="2" t="s">
        <v>759</v>
      </c>
      <c r="I230" s="2">
        <v>356</v>
      </c>
      <c r="J230" s="2">
        <v>120</v>
      </c>
      <c r="K230" s="2" t="s">
        <v>24</v>
      </c>
      <c r="L230" s="2" t="s">
        <v>82</v>
      </c>
      <c r="M230" s="2" t="s">
        <v>26</v>
      </c>
      <c r="N230" s="2" t="s">
        <v>26</v>
      </c>
      <c r="O230" s="2" t="s">
        <v>26</v>
      </c>
      <c r="P230" s="13"/>
      <c r="Q230" s="2" t="s">
        <v>760</v>
      </c>
      <c r="R230" s="2" t="s">
        <v>28</v>
      </c>
      <c r="S230" s="2" t="s">
        <v>744</v>
      </c>
      <c r="T230" s="2"/>
      <c r="U230" s="10">
        <v>1</v>
      </c>
      <c r="V230" s="52">
        <v>0</v>
      </c>
      <c r="W230" s="25"/>
      <c r="X230" s="66">
        <f t="shared" si="9"/>
        <v>0</v>
      </c>
      <c r="Z230" s="84">
        <f t="shared" si="11"/>
        <v>120</v>
      </c>
    </row>
    <row r="231" spans="1:27" ht="49.5" customHeight="1">
      <c r="A231" s="2">
        <v>230</v>
      </c>
      <c r="B231" s="2" t="s">
        <v>18</v>
      </c>
      <c r="C231" s="2" t="s">
        <v>75</v>
      </c>
      <c r="D231" s="2">
        <v>30</v>
      </c>
      <c r="E231" s="2" t="s">
        <v>739</v>
      </c>
      <c r="F231" s="2">
        <v>212</v>
      </c>
      <c r="G231" s="2" t="s">
        <v>740</v>
      </c>
      <c r="H231" s="2" t="s">
        <v>759</v>
      </c>
      <c r="I231" s="2" t="s">
        <v>761</v>
      </c>
      <c r="J231" s="2">
        <v>500</v>
      </c>
      <c r="K231" s="2" t="s">
        <v>24</v>
      </c>
      <c r="L231" s="2" t="s">
        <v>82</v>
      </c>
      <c r="M231" s="2" t="s">
        <v>26</v>
      </c>
      <c r="N231" s="2" t="s">
        <v>26</v>
      </c>
      <c r="O231" s="2" t="s">
        <v>26</v>
      </c>
      <c r="P231" s="13"/>
      <c r="Q231" s="2" t="s">
        <v>760</v>
      </c>
      <c r="R231" s="2" t="s">
        <v>28</v>
      </c>
      <c r="S231" s="2" t="s">
        <v>751</v>
      </c>
      <c r="T231" s="2"/>
      <c r="U231" s="10">
        <v>1</v>
      </c>
      <c r="V231" s="52">
        <v>0</v>
      </c>
      <c r="W231" s="25"/>
      <c r="X231" s="66">
        <f t="shared" si="9"/>
        <v>0</v>
      </c>
      <c r="Z231" s="84">
        <f t="shared" si="11"/>
        <v>500</v>
      </c>
    </row>
    <row r="232" spans="1:27" ht="49.5" customHeight="1">
      <c r="A232" s="2">
        <v>231</v>
      </c>
      <c r="B232" s="2" t="s">
        <v>18</v>
      </c>
      <c r="C232" s="2" t="s">
        <v>75</v>
      </c>
      <c r="D232" s="2">
        <v>30</v>
      </c>
      <c r="E232" s="2" t="s">
        <v>739</v>
      </c>
      <c r="F232" s="2">
        <v>220</v>
      </c>
      <c r="G232" s="2" t="s">
        <v>752</v>
      </c>
      <c r="H232" s="2" t="s">
        <v>762</v>
      </c>
      <c r="I232" s="2" t="s">
        <v>763</v>
      </c>
      <c r="J232" s="2">
        <v>1000</v>
      </c>
      <c r="K232" s="2" t="s">
        <v>24</v>
      </c>
      <c r="L232" s="2" t="s">
        <v>82</v>
      </c>
      <c r="M232" s="2" t="s">
        <v>26</v>
      </c>
      <c r="N232" s="2" t="s">
        <v>26</v>
      </c>
      <c r="O232" s="2" t="s">
        <v>26</v>
      </c>
      <c r="P232" s="13"/>
      <c r="Q232" s="2" t="s">
        <v>153</v>
      </c>
      <c r="R232" s="2" t="s">
        <v>28</v>
      </c>
      <c r="S232" s="2" t="s">
        <v>744</v>
      </c>
      <c r="T232" s="2"/>
      <c r="U232" s="10">
        <v>1</v>
      </c>
      <c r="V232" s="52">
        <v>0</v>
      </c>
      <c r="W232" s="25"/>
      <c r="X232" s="66">
        <f t="shared" si="9"/>
        <v>0</v>
      </c>
      <c r="Z232" s="84">
        <f t="shared" si="11"/>
        <v>1000</v>
      </c>
    </row>
    <row r="233" spans="1:27" ht="49.5" customHeight="1">
      <c r="A233" s="2">
        <v>232</v>
      </c>
      <c r="B233" s="2" t="s">
        <v>18</v>
      </c>
      <c r="C233" s="2" t="s">
        <v>75</v>
      </c>
      <c r="D233" s="2">
        <v>30</v>
      </c>
      <c r="E233" s="2" t="s">
        <v>739</v>
      </c>
      <c r="F233" s="2">
        <v>220</v>
      </c>
      <c r="G233" s="2" t="s">
        <v>752</v>
      </c>
      <c r="H233" s="2" t="s">
        <v>764</v>
      </c>
      <c r="I233" s="2" t="s">
        <v>765</v>
      </c>
      <c r="J233" s="2">
        <v>300</v>
      </c>
      <c r="K233" s="2" t="s">
        <v>24</v>
      </c>
      <c r="L233" s="2" t="s">
        <v>82</v>
      </c>
      <c r="M233" s="2" t="s">
        <v>26</v>
      </c>
      <c r="N233" s="2" t="s">
        <v>26</v>
      </c>
      <c r="O233" s="2" t="s">
        <v>26</v>
      </c>
      <c r="P233" s="13"/>
      <c r="Q233" s="2" t="s">
        <v>766</v>
      </c>
      <c r="R233" s="2" t="s">
        <v>28</v>
      </c>
      <c r="S233" s="2" t="s">
        <v>744</v>
      </c>
      <c r="T233" s="2"/>
      <c r="U233" s="10">
        <v>1</v>
      </c>
      <c r="V233" s="52">
        <v>0</v>
      </c>
      <c r="W233" s="25"/>
      <c r="X233" s="66">
        <f t="shared" si="9"/>
        <v>0</v>
      </c>
      <c r="Z233" s="84">
        <f t="shared" si="11"/>
        <v>300</v>
      </c>
    </row>
    <row r="234" spans="1:27" ht="49.5" customHeight="1">
      <c r="A234" s="2">
        <v>233</v>
      </c>
      <c r="B234" s="2" t="s">
        <v>18</v>
      </c>
      <c r="C234" s="2" t="s">
        <v>75</v>
      </c>
      <c r="D234" s="2">
        <v>30</v>
      </c>
      <c r="E234" s="2" t="s">
        <v>739</v>
      </c>
      <c r="F234" s="2">
        <v>216</v>
      </c>
      <c r="G234" s="2" t="s">
        <v>767</v>
      </c>
      <c r="H234" s="2" t="s">
        <v>768</v>
      </c>
      <c r="I234" s="2" t="s">
        <v>769</v>
      </c>
      <c r="J234" s="2">
        <v>1900</v>
      </c>
      <c r="K234" s="2" t="s">
        <v>24</v>
      </c>
      <c r="L234" s="2" t="s">
        <v>82</v>
      </c>
      <c r="M234" s="2" t="s">
        <v>26</v>
      </c>
      <c r="N234" s="2" t="s">
        <v>26</v>
      </c>
      <c r="O234" s="2" t="s">
        <v>26</v>
      </c>
      <c r="P234" s="13"/>
      <c r="Q234" s="2" t="s">
        <v>770</v>
      </c>
      <c r="R234" s="2" t="s">
        <v>28</v>
      </c>
      <c r="S234" s="2" t="s">
        <v>751</v>
      </c>
      <c r="T234" s="2"/>
      <c r="U234" s="10">
        <v>1</v>
      </c>
      <c r="V234" s="52">
        <v>0</v>
      </c>
      <c r="W234" s="25"/>
      <c r="X234" s="66">
        <f t="shared" si="9"/>
        <v>0</v>
      </c>
      <c r="Z234" s="84">
        <f t="shared" si="11"/>
        <v>1900</v>
      </c>
    </row>
    <row r="235" spans="1:27" s="12" customFormat="1" ht="49.5" customHeight="1">
      <c r="A235" s="2">
        <v>234</v>
      </c>
      <c r="B235" s="2" t="s">
        <v>18</v>
      </c>
      <c r="C235" s="2" t="s">
        <v>75</v>
      </c>
      <c r="D235" s="2">
        <v>30</v>
      </c>
      <c r="E235" s="2" t="s">
        <v>739</v>
      </c>
      <c r="F235" s="2">
        <v>220</v>
      </c>
      <c r="G235" s="2" t="s">
        <v>752</v>
      </c>
      <c r="H235" s="2" t="s">
        <v>753</v>
      </c>
      <c r="I235" s="2" t="s">
        <v>754</v>
      </c>
      <c r="J235" s="2">
        <v>2380</v>
      </c>
      <c r="K235" s="2" t="s">
        <v>24</v>
      </c>
      <c r="L235" s="2" t="s">
        <v>82</v>
      </c>
      <c r="M235" s="2" t="s">
        <v>26</v>
      </c>
      <c r="N235" s="2" t="s">
        <v>26</v>
      </c>
      <c r="O235" s="2" t="s">
        <v>26</v>
      </c>
      <c r="P235" s="13"/>
      <c r="Q235" s="2" t="s">
        <v>771</v>
      </c>
      <c r="R235" s="2" t="s">
        <v>28</v>
      </c>
      <c r="S235" s="2" t="s">
        <v>744</v>
      </c>
      <c r="T235" s="2"/>
      <c r="U235" s="10">
        <v>1</v>
      </c>
      <c r="V235" s="52">
        <v>0</v>
      </c>
      <c r="W235" s="25"/>
      <c r="X235" s="66">
        <f t="shared" si="9"/>
        <v>0</v>
      </c>
      <c r="Y235" s="25"/>
      <c r="Z235" s="84">
        <f t="shared" si="11"/>
        <v>2380</v>
      </c>
      <c r="AA235" s="24"/>
    </row>
    <row r="236" spans="1:27" s="12" customFormat="1" ht="49.5" customHeight="1">
      <c r="A236" s="2">
        <v>235</v>
      </c>
      <c r="B236" s="2" t="s">
        <v>18</v>
      </c>
      <c r="C236" s="2" t="s">
        <v>75</v>
      </c>
      <c r="D236" s="2">
        <v>30</v>
      </c>
      <c r="E236" s="2" t="s">
        <v>739</v>
      </c>
      <c r="F236" s="2">
        <v>221</v>
      </c>
      <c r="G236" s="2" t="s">
        <v>756</v>
      </c>
      <c r="H236" s="2" t="s">
        <v>757</v>
      </c>
      <c r="I236" s="2" t="s">
        <v>772</v>
      </c>
      <c r="J236" s="2">
        <v>404</v>
      </c>
      <c r="K236" s="2" t="s">
        <v>24</v>
      </c>
      <c r="L236" s="2" t="s">
        <v>82</v>
      </c>
      <c r="M236" s="2" t="s">
        <v>26</v>
      </c>
      <c r="N236" s="2" t="s">
        <v>26</v>
      </c>
      <c r="O236" s="2" t="s">
        <v>26</v>
      </c>
      <c r="P236" s="13"/>
      <c r="Q236" s="2" t="s">
        <v>773</v>
      </c>
      <c r="R236" s="2" t="s">
        <v>28</v>
      </c>
      <c r="S236" s="2" t="s">
        <v>744</v>
      </c>
      <c r="T236" s="2"/>
      <c r="U236" s="10">
        <v>1</v>
      </c>
      <c r="V236" s="52">
        <v>0</v>
      </c>
      <c r="W236" s="25"/>
      <c r="X236" s="66">
        <f t="shared" si="9"/>
        <v>0</v>
      </c>
      <c r="Y236" s="25"/>
      <c r="Z236" s="84">
        <f t="shared" si="11"/>
        <v>404</v>
      </c>
      <c r="AA236" s="24"/>
    </row>
    <row r="237" spans="1:27" s="12" customFormat="1" ht="49.5" customHeight="1">
      <c r="A237" s="2">
        <v>236</v>
      </c>
      <c r="B237" s="2" t="s">
        <v>18</v>
      </c>
      <c r="C237" s="2" t="s">
        <v>75</v>
      </c>
      <c r="D237" s="2">
        <v>30</v>
      </c>
      <c r="E237" s="2" t="s">
        <v>739</v>
      </c>
      <c r="F237" s="2">
        <v>212</v>
      </c>
      <c r="G237" s="2" t="s">
        <v>740</v>
      </c>
      <c r="H237" s="2" t="s">
        <v>774</v>
      </c>
      <c r="I237" s="2" t="s">
        <v>775</v>
      </c>
      <c r="J237" s="2">
        <v>1760</v>
      </c>
      <c r="K237" s="2" t="s">
        <v>24</v>
      </c>
      <c r="L237" s="2" t="s">
        <v>25</v>
      </c>
      <c r="M237" s="2" t="s">
        <v>26</v>
      </c>
      <c r="N237" s="2" t="s">
        <v>26</v>
      </c>
      <c r="O237" s="2" t="s">
        <v>26</v>
      </c>
      <c r="P237" s="13">
        <v>100</v>
      </c>
      <c r="Q237" s="2" t="s">
        <v>27</v>
      </c>
      <c r="R237" s="2" t="s">
        <v>28</v>
      </c>
      <c r="S237" s="2" t="s">
        <v>744</v>
      </c>
      <c r="T237" s="2" t="s">
        <v>776</v>
      </c>
      <c r="U237" s="10">
        <v>0</v>
      </c>
      <c r="V237" s="52">
        <v>1</v>
      </c>
      <c r="W237" s="25"/>
      <c r="X237" s="66">
        <f t="shared" si="9"/>
        <v>1760</v>
      </c>
      <c r="Y237" s="25"/>
      <c r="Z237" s="84">
        <f t="shared" si="11"/>
        <v>0</v>
      </c>
      <c r="AA237" s="24"/>
    </row>
    <row r="238" spans="1:27" ht="49.5" customHeight="1">
      <c r="A238" s="2">
        <v>237</v>
      </c>
      <c r="B238" s="2" t="s">
        <v>18</v>
      </c>
      <c r="C238" s="2" t="s">
        <v>75</v>
      </c>
      <c r="D238" s="2">
        <v>30</v>
      </c>
      <c r="E238" s="2" t="s">
        <v>739</v>
      </c>
      <c r="F238" s="2">
        <v>212</v>
      </c>
      <c r="G238" s="2" t="s">
        <v>740</v>
      </c>
      <c r="H238" s="2" t="s">
        <v>777</v>
      </c>
      <c r="I238" s="2" t="s">
        <v>778</v>
      </c>
      <c r="J238" s="2">
        <v>1000</v>
      </c>
      <c r="K238" s="2" t="s">
        <v>24</v>
      </c>
      <c r="L238" s="2" t="s">
        <v>25</v>
      </c>
      <c r="M238" s="2" t="s">
        <v>26</v>
      </c>
      <c r="N238" s="2" t="s">
        <v>26</v>
      </c>
      <c r="O238" s="2" t="s">
        <v>26</v>
      </c>
      <c r="P238" s="13">
        <v>100</v>
      </c>
      <c r="Q238" s="2" t="s">
        <v>35</v>
      </c>
      <c r="R238" s="2" t="s">
        <v>28</v>
      </c>
      <c r="S238" s="2" t="s">
        <v>751</v>
      </c>
      <c r="T238" s="2" t="s">
        <v>779</v>
      </c>
      <c r="U238" s="10">
        <v>0</v>
      </c>
      <c r="V238" s="52">
        <v>1</v>
      </c>
      <c r="W238" s="25"/>
      <c r="X238" s="66">
        <f t="shared" si="9"/>
        <v>1000</v>
      </c>
      <c r="Z238" s="84">
        <f t="shared" si="11"/>
        <v>0</v>
      </c>
    </row>
    <row r="239" spans="1:27" ht="49.5" customHeight="1">
      <c r="A239" s="2">
        <v>238</v>
      </c>
      <c r="B239" s="2" t="s">
        <v>18</v>
      </c>
      <c r="C239" s="2" t="s">
        <v>75</v>
      </c>
      <c r="D239" s="2">
        <v>30</v>
      </c>
      <c r="E239" s="2" t="s">
        <v>739</v>
      </c>
      <c r="F239" s="2">
        <v>212</v>
      </c>
      <c r="G239" s="2" t="s">
        <v>740</v>
      </c>
      <c r="H239" s="2" t="s">
        <v>780</v>
      </c>
      <c r="I239" s="2" t="s">
        <v>781</v>
      </c>
      <c r="J239" s="2">
        <v>550</v>
      </c>
      <c r="K239" s="2" t="s">
        <v>24</v>
      </c>
      <c r="L239" s="2" t="s">
        <v>25</v>
      </c>
      <c r="M239" s="2" t="s">
        <v>26</v>
      </c>
      <c r="N239" s="2" t="s">
        <v>26</v>
      </c>
      <c r="O239" s="2" t="s">
        <v>26</v>
      </c>
      <c r="P239" s="13">
        <v>100</v>
      </c>
      <c r="Q239" s="2" t="s">
        <v>35</v>
      </c>
      <c r="R239" s="2" t="s">
        <v>28</v>
      </c>
      <c r="S239" s="2" t="s">
        <v>751</v>
      </c>
      <c r="T239" s="2" t="s">
        <v>782</v>
      </c>
      <c r="U239" s="10">
        <v>0</v>
      </c>
      <c r="V239" s="52">
        <v>1</v>
      </c>
      <c r="W239" s="25"/>
      <c r="X239" s="66">
        <f t="shared" si="9"/>
        <v>550</v>
      </c>
      <c r="Z239" s="84">
        <f t="shared" si="11"/>
        <v>0</v>
      </c>
      <c r="AA239" s="25"/>
    </row>
    <row r="240" spans="1:27" ht="49.5" customHeight="1">
      <c r="A240" s="2">
        <v>239</v>
      </c>
      <c r="B240" s="2" t="s">
        <v>18</v>
      </c>
      <c r="C240" s="2" t="s">
        <v>75</v>
      </c>
      <c r="D240" s="2">
        <v>30</v>
      </c>
      <c r="E240" s="2" t="s">
        <v>739</v>
      </c>
      <c r="F240" s="2">
        <v>212</v>
      </c>
      <c r="G240" s="2" t="s">
        <v>740</v>
      </c>
      <c r="H240" s="2" t="s">
        <v>764</v>
      </c>
      <c r="I240" s="2" t="s">
        <v>765</v>
      </c>
      <c r="J240" s="2">
        <v>1300</v>
      </c>
      <c r="K240" s="2" t="s">
        <v>24</v>
      </c>
      <c r="L240" s="2" t="s">
        <v>25</v>
      </c>
      <c r="M240" s="2" t="s">
        <v>26</v>
      </c>
      <c r="N240" s="2" t="s">
        <v>26</v>
      </c>
      <c r="O240" s="2" t="s">
        <v>26</v>
      </c>
      <c r="P240" s="13">
        <v>100</v>
      </c>
      <c r="Q240" s="2" t="s">
        <v>35</v>
      </c>
      <c r="R240" s="2" t="s">
        <v>28</v>
      </c>
      <c r="S240" s="2" t="s">
        <v>744</v>
      </c>
      <c r="T240" s="2" t="s">
        <v>783</v>
      </c>
      <c r="U240" s="10">
        <v>0</v>
      </c>
      <c r="V240" s="52">
        <v>1</v>
      </c>
      <c r="W240" s="25"/>
      <c r="X240" s="66">
        <f t="shared" si="9"/>
        <v>1300</v>
      </c>
      <c r="Z240" s="84">
        <f t="shared" si="11"/>
        <v>0</v>
      </c>
    </row>
    <row r="241" spans="1:27" ht="49.5" customHeight="1">
      <c r="A241" s="2">
        <v>240</v>
      </c>
      <c r="B241" s="2" t="s">
        <v>18</v>
      </c>
      <c r="C241" s="2" t="s">
        <v>75</v>
      </c>
      <c r="D241" s="2">
        <v>30</v>
      </c>
      <c r="E241" s="2" t="s">
        <v>739</v>
      </c>
      <c r="F241" s="2">
        <v>216</v>
      </c>
      <c r="G241" s="2" t="s">
        <v>767</v>
      </c>
      <c r="H241" s="2" t="s">
        <v>784</v>
      </c>
      <c r="I241" s="2" t="s">
        <v>785</v>
      </c>
      <c r="J241" s="2">
        <v>1500</v>
      </c>
      <c r="K241" s="2" t="s">
        <v>24</v>
      </c>
      <c r="L241" s="2" t="s">
        <v>25</v>
      </c>
      <c r="M241" s="2" t="s">
        <v>26</v>
      </c>
      <c r="N241" s="2" t="s">
        <v>26</v>
      </c>
      <c r="O241" s="2" t="s">
        <v>26</v>
      </c>
      <c r="P241" s="13">
        <v>100</v>
      </c>
      <c r="Q241" s="2" t="s">
        <v>35</v>
      </c>
      <c r="R241" s="2" t="s">
        <v>28</v>
      </c>
      <c r="S241" s="2" t="s">
        <v>744</v>
      </c>
      <c r="T241" s="2" t="s">
        <v>786</v>
      </c>
      <c r="U241" s="10">
        <v>0</v>
      </c>
      <c r="V241" s="52">
        <v>1</v>
      </c>
      <c r="W241" s="25"/>
      <c r="X241" s="66">
        <f t="shared" si="9"/>
        <v>1500</v>
      </c>
      <c r="Z241" s="84">
        <f t="shared" si="11"/>
        <v>0</v>
      </c>
    </row>
    <row r="242" spans="1:27" ht="49.5" customHeight="1">
      <c r="A242" s="2">
        <v>241</v>
      </c>
      <c r="B242" s="2" t="s">
        <v>18</v>
      </c>
      <c r="C242" s="2" t="s">
        <v>75</v>
      </c>
      <c r="D242" s="2">
        <v>30</v>
      </c>
      <c r="E242" s="2" t="s">
        <v>739</v>
      </c>
      <c r="F242" s="2">
        <v>216</v>
      </c>
      <c r="G242" s="2" t="s">
        <v>767</v>
      </c>
      <c r="H242" s="2" t="s">
        <v>787</v>
      </c>
      <c r="I242" s="2" t="s">
        <v>788</v>
      </c>
      <c r="J242" s="2">
        <v>900</v>
      </c>
      <c r="K242" s="2" t="s">
        <v>24</v>
      </c>
      <c r="L242" s="2" t="s">
        <v>82</v>
      </c>
      <c r="M242" s="2" t="s">
        <v>26</v>
      </c>
      <c r="N242" s="2" t="s">
        <v>26</v>
      </c>
      <c r="O242" s="2" t="s">
        <v>26</v>
      </c>
      <c r="P242" s="13">
        <v>60</v>
      </c>
      <c r="Q242" s="2" t="s">
        <v>35</v>
      </c>
      <c r="R242" s="2" t="s">
        <v>28</v>
      </c>
      <c r="S242" s="2" t="s">
        <v>744</v>
      </c>
      <c r="T242" s="2" t="s">
        <v>789</v>
      </c>
      <c r="U242" s="10">
        <v>0</v>
      </c>
      <c r="V242" s="52">
        <v>1</v>
      </c>
      <c r="W242" s="25"/>
      <c r="X242" s="66">
        <f t="shared" si="9"/>
        <v>900</v>
      </c>
      <c r="Z242" s="84">
        <f t="shared" ref="Z242:Z273" si="12">J242-X242</f>
        <v>0</v>
      </c>
    </row>
    <row r="243" spans="1:27" ht="49.5" customHeight="1">
      <c r="A243" s="2">
        <v>242</v>
      </c>
      <c r="B243" s="2" t="s">
        <v>18</v>
      </c>
      <c r="C243" s="2" t="s">
        <v>75</v>
      </c>
      <c r="D243" s="2">
        <v>30</v>
      </c>
      <c r="E243" s="2" t="s">
        <v>739</v>
      </c>
      <c r="F243" s="2">
        <v>217</v>
      </c>
      <c r="G243" s="2" t="s">
        <v>790</v>
      </c>
      <c r="H243" s="2" t="s">
        <v>791</v>
      </c>
      <c r="I243" s="2" t="s">
        <v>792</v>
      </c>
      <c r="J243" s="2">
        <v>2000</v>
      </c>
      <c r="K243" s="2" t="s">
        <v>24</v>
      </c>
      <c r="L243" s="2" t="s">
        <v>82</v>
      </c>
      <c r="M243" s="2" t="s">
        <v>26</v>
      </c>
      <c r="N243" s="2" t="s">
        <v>26</v>
      </c>
      <c r="O243" s="2" t="s">
        <v>26</v>
      </c>
      <c r="P243" s="13">
        <v>80</v>
      </c>
      <c r="Q243" s="2" t="s">
        <v>27</v>
      </c>
      <c r="R243" s="2" t="s">
        <v>28</v>
      </c>
      <c r="S243" s="2" t="s">
        <v>751</v>
      </c>
      <c r="T243" s="2" t="s">
        <v>793</v>
      </c>
      <c r="U243" s="10">
        <v>0</v>
      </c>
      <c r="V243" s="52">
        <v>1</v>
      </c>
      <c r="W243" s="25"/>
      <c r="X243" s="66">
        <f t="shared" ref="X243:X304" si="13">V243*J243</f>
        <v>2000</v>
      </c>
      <c r="Z243" s="84">
        <f t="shared" si="12"/>
        <v>0</v>
      </c>
    </row>
    <row r="244" spans="1:27" ht="49.5" customHeight="1">
      <c r="A244" s="2">
        <v>243</v>
      </c>
      <c r="B244" s="2" t="s">
        <v>18</v>
      </c>
      <c r="C244" s="2" t="s">
        <v>75</v>
      </c>
      <c r="D244" s="2">
        <v>30</v>
      </c>
      <c r="E244" s="2" t="s">
        <v>739</v>
      </c>
      <c r="F244" s="2">
        <v>217</v>
      </c>
      <c r="G244" s="2" t="s">
        <v>790</v>
      </c>
      <c r="H244" s="2" t="s">
        <v>794</v>
      </c>
      <c r="I244" s="2" t="s">
        <v>795</v>
      </c>
      <c r="J244" s="2">
        <v>2500</v>
      </c>
      <c r="K244" s="2" t="s">
        <v>24</v>
      </c>
      <c r="L244" s="2" t="s">
        <v>82</v>
      </c>
      <c r="M244" s="2" t="s">
        <v>26</v>
      </c>
      <c r="N244" s="2" t="s">
        <v>26</v>
      </c>
      <c r="O244" s="2" t="s">
        <v>26</v>
      </c>
      <c r="P244" s="13">
        <v>100</v>
      </c>
      <c r="Q244" s="2" t="s">
        <v>35</v>
      </c>
      <c r="R244" s="2" t="s">
        <v>28</v>
      </c>
      <c r="S244" s="2" t="s">
        <v>751</v>
      </c>
      <c r="T244" s="2" t="s">
        <v>796</v>
      </c>
      <c r="U244" s="10">
        <v>0</v>
      </c>
      <c r="V244" s="52">
        <v>1</v>
      </c>
      <c r="W244" s="25"/>
      <c r="X244" s="66">
        <f t="shared" si="13"/>
        <v>2500</v>
      </c>
      <c r="Z244" s="84">
        <f t="shared" si="12"/>
        <v>0</v>
      </c>
    </row>
    <row r="245" spans="1:27" ht="49.5" customHeight="1">
      <c r="A245" s="2">
        <v>244</v>
      </c>
      <c r="B245" s="2" t="s">
        <v>18</v>
      </c>
      <c r="C245" s="2" t="s">
        <v>75</v>
      </c>
      <c r="D245" s="2">
        <v>30</v>
      </c>
      <c r="E245" s="2" t="s">
        <v>739</v>
      </c>
      <c r="F245" s="2">
        <v>217</v>
      </c>
      <c r="G245" s="2" t="s">
        <v>790</v>
      </c>
      <c r="H245" s="2" t="s">
        <v>797</v>
      </c>
      <c r="I245" s="2" t="s">
        <v>798</v>
      </c>
      <c r="J245" s="2">
        <v>1100</v>
      </c>
      <c r="K245" s="2" t="s">
        <v>24</v>
      </c>
      <c r="L245" s="2" t="s">
        <v>799</v>
      </c>
      <c r="M245" s="2" t="s">
        <v>26</v>
      </c>
      <c r="N245" s="2" t="s">
        <v>26</v>
      </c>
      <c r="O245" s="2" t="s">
        <v>26</v>
      </c>
      <c r="P245" s="13">
        <v>60</v>
      </c>
      <c r="Q245" s="2" t="s">
        <v>35</v>
      </c>
      <c r="R245" s="2" t="s">
        <v>28</v>
      </c>
      <c r="S245" s="2" t="s">
        <v>751</v>
      </c>
      <c r="T245" s="2" t="s">
        <v>800</v>
      </c>
      <c r="U245" s="10">
        <v>0</v>
      </c>
      <c r="V245" s="52">
        <v>1</v>
      </c>
      <c r="W245" s="25"/>
      <c r="X245" s="66">
        <f t="shared" si="13"/>
        <v>1100</v>
      </c>
      <c r="Z245" s="84">
        <f t="shared" si="12"/>
        <v>0</v>
      </c>
      <c r="AA245" s="25"/>
    </row>
    <row r="246" spans="1:27" s="12" customFormat="1" ht="49.5" customHeight="1">
      <c r="A246" s="2">
        <v>245</v>
      </c>
      <c r="B246" s="2" t="s">
        <v>18</v>
      </c>
      <c r="C246" s="2" t="s">
        <v>75</v>
      </c>
      <c r="D246" s="2">
        <v>30</v>
      </c>
      <c r="E246" s="2" t="s">
        <v>739</v>
      </c>
      <c r="F246" s="2">
        <v>220</v>
      </c>
      <c r="G246" s="2" t="s">
        <v>752</v>
      </c>
      <c r="H246" s="2" t="s">
        <v>801</v>
      </c>
      <c r="I246" s="2" t="s">
        <v>802</v>
      </c>
      <c r="J246" s="2">
        <v>615</v>
      </c>
      <c r="K246" s="2" t="s">
        <v>24</v>
      </c>
      <c r="L246" s="2" t="s">
        <v>82</v>
      </c>
      <c r="M246" s="2" t="s">
        <v>26</v>
      </c>
      <c r="N246" s="2" t="s">
        <v>26</v>
      </c>
      <c r="O246" s="2" t="s">
        <v>26</v>
      </c>
      <c r="P246" s="13">
        <v>80</v>
      </c>
      <c r="Q246" s="2" t="s">
        <v>35</v>
      </c>
      <c r="R246" s="2" t="s">
        <v>28</v>
      </c>
      <c r="S246" s="2" t="s">
        <v>751</v>
      </c>
      <c r="T246" s="2" t="s">
        <v>1216</v>
      </c>
      <c r="U246" s="10">
        <v>1</v>
      </c>
      <c r="V246" s="52">
        <v>0</v>
      </c>
      <c r="W246" s="25"/>
      <c r="X246" s="66">
        <f t="shared" si="13"/>
        <v>0</v>
      </c>
      <c r="Y246" s="25"/>
      <c r="Z246" s="84">
        <f t="shared" si="12"/>
        <v>615</v>
      </c>
      <c r="AA246" s="25"/>
    </row>
    <row r="247" spans="1:27" ht="49.5" customHeight="1">
      <c r="A247" s="2">
        <v>246</v>
      </c>
      <c r="B247" s="2" t="s">
        <v>18</v>
      </c>
      <c r="C247" s="2" t="s">
        <v>75</v>
      </c>
      <c r="D247" s="2">
        <v>30</v>
      </c>
      <c r="E247" s="2" t="s">
        <v>739</v>
      </c>
      <c r="F247" s="2">
        <v>220</v>
      </c>
      <c r="G247" s="2" t="s">
        <v>752</v>
      </c>
      <c r="H247" s="2" t="s">
        <v>803</v>
      </c>
      <c r="I247" s="2" t="s">
        <v>804</v>
      </c>
      <c r="J247" s="2">
        <v>1450</v>
      </c>
      <c r="K247" s="2" t="s">
        <v>24</v>
      </c>
      <c r="L247" s="2" t="s">
        <v>25</v>
      </c>
      <c r="M247" s="2" t="s">
        <v>26</v>
      </c>
      <c r="N247" s="2" t="s">
        <v>26</v>
      </c>
      <c r="O247" s="2" t="s">
        <v>26</v>
      </c>
      <c r="P247" s="13">
        <v>100</v>
      </c>
      <c r="Q247" s="2" t="s">
        <v>35</v>
      </c>
      <c r="R247" s="2" t="s">
        <v>28</v>
      </c>
      <c r="S247" s="2" t="s">
        <v>744</v>
      </c>
      <c r="T247" s="2" t="s">
        <v>805</v>
      </c>
      <c r="U247" s="10">
        <v>0.95</v>
      </c>
      <c r="V247" s="52">
        <v>0.05</v>
      </c>
      <c r="W247" s="25"/>
      <c r="X247" s="66">
        <f t="shared" si="13"/>
        <v>72.5</v>
      </c>
      <c r="Z247" s="84">
        <f t="shared" si="12"/>
        <v>1377.5</v>
      </c>
      <c r="AA247" s="25"/>
    </row>
    <row r="248" spans="1:27" ht="49.5" customHeight="1">
      <c r="A248" s="2">
        <v>247</v>
      </c>
      <c r="B248" s="2" t="s">
        <v>18</v>
      </c>
      <c r="C248" s="2" t="s">
        <v>75</v>
      </c>
      <c r="D248" s="2">
        <v>30</v>
      </c>
      <c r="E248" s="2" t="s">
        <v>739</v>
      </c>
      <c r="F248" s="2">
        <v>221</v>
      </c>
      <c r="G248" s="2" t="s">
        <v>806</v>
      </c>
      <c r="H248" s="2" t="s">
        <v>807</v>
      </c>
      <c r="I248" s="2" t="s">
        <v>1202</v>
      </c>
      <c r="J248" s="2">
        <v>2000</v>
      </c>
      <c r="K248" s="2" t="s">
        <v>24</v>
      </c>
      <c r="L248" s="2" t="s">
        <v>25</v>
      </c>
      <c r="M248" s="2" t="s">
        <v>26</v>
      </c>
      <c r="N248" s="2" t="s">
        <v>26</v>
      </c>
      <c r="O248" s="2" t="s">
        <v>26</v>
      </c>
      <c r="P248" s="13">
        <v>100</v>
      </c>
      <c r="Q248" s="2" t="s">
        <v>808</v>
      </c>
      <c r="R248" s="2" t="s">
        <v>28</v>
      </c>
      <c r="S248" s="2" t="s">
        <v>751</v>
      </c>
      <c r="T248" s="2" t="s">
        <v>809</v>
      </c>
      <c r="U248" s="10">
        <v>0.95</v>
      </c>
      <c r="V248" s="52">
        <v>0.05</v>
      </c>
      <c r="W248" s="25"/>
      <c r="X248" s="66">
        <f t="shared" si="13"/>
        <v>100</v>
      </c>
      <c r="Z248" s="84">
        <f t="shared" si="12"/>
        <v>1900</v>
      </c>
    </row>
    <row r="249" spans="1:27" ht="49.5" customHeight="1">
      <c r="A249" s="2">
        <v>248</v>
      </c>
      <c r="B249" s="2" t="s">
        <v>18</v>
      </c>
      <c r="C249" s="2" t="s">
        <v>75</v>
      </c>
      <c r="D249" s="2">
        <v>30</v>
      </c>
      <c r="E249" s="2" t="s">
        <v>739</v>
      </c>
      <c r="F249" s="2">
        <v>221</v>
      </c>
      <c r="G249" s="2" t="s">
        <v>806</v>
      </c>
      <c r="H249" s="2" t="s">
        <v>756</v>
      </c>
      <c r="I249" s="2" t="s">
        <v>810</v>
      </c>
      <c r="J249" s="2">
        <v>2000</v>
      </c>
      <c r="K249" s="2" t="s">
        <v>24</v>
      </c>
      <c r="L249" s="2" t="s">
        <v>25</v>
      </c>
      <c r="M249" s="2" t="s">
        <v>26</v>
      </c>
      <c r="N249" s="2" t="s">
        <v>26</v>
      </c>
      <c r="O249" s="2" t="s">
        <v>26</v>
      </c>
      <c r="P249" s="13">
        <v>100</v>
      </c>
      <c r="Q249" s="2" t="s">
        <v>35</v>
      </c>
      <c r="R249" s="2" t="s">
        <v>28</v>
      </c>
      <c r="S249" s="2" t="s">
        <v>751</v>
      </c>
      <c r="T249" s="2" t="s">
        <v>811</v>
      </c>
      <c r="U249" s="10">
        <v>0</v>
      </c>
      <c r="V249" s="52">
        <v>1</v>
      </c>
      <c r="W249" s="25"/>
      <c r="X249" s="66">
        <f t="shared" si="13"/>
        <v>2000</v>
      </c>
      <c r="Z249" s="84">
        <f t="shared" si="12"/>
        <v>0</v>
      </c>
    </row>
    <row r="250" spans="1:27" ht="49.5" customHeight="1">
      <c r="A250" s="2">
        <v>249</v>
      </c>
      <c r="B250" s="2" t="s">
        <v>18</v>
      </c>
      <c r="C250" s="2" t="s">
        <v>75</v>
      </c>
      <c r="D250" s="2">
        <v>32</v>
      </c>
      <c r="E250" s="2" t="s">
        <v>288</v>
      </c>
      <c r="F250" s="2">
        <v>223</v>
      </c>
      <c r="G250" s="2" t="s">
        <v>745</v>
      </c>
      <c r="H250" s="2" t="s">
        <v>812</v>
      </c>
      <c r="I250" s="2" t="s">
        <v>813</v>
      </c>
      <c r="J250" s="2">
        <v>700</v>
      </c>
      <c r="K250" s="2" t="s">
        <v>24</v>
      </c>
      <c r="L250" s="2" t="s">
        <v>25</v>
      </c>
      <c r="M250" s="2" t="s">
        <v>26</v>
      </c>
      <c r="N250" s="2" t="s">
        <v>26</v>
      </c>
      <c r="O250" s="2" t="s">
        <v>26</v>
      </c>
      <c r="P250" s="13">
        <v>100</v>
      </c>
      <c r="Q250" s="2" t="s">
        <v>35</v>
      </c>
      <c r="R250" s="2" t="s">
        <v>28</v>
      </c>
      <c r="S250" s="2" t="s">
        <v>751</v>
      </c>
      <c r="T250" s="2" t="s">
        <v>814</v>
      </c>
      <c r="U250" s="10">
        <v>0</v>
      </c>
      <c r="V250" s="52">
        <v>1</v>
      </c>
      <c r="W250" s="25"/>
      <c r="X250" s="66">
        <f t="shared" si="13"/>
        <v>700</v>
      </c>
      <c r="Z250" s="84">
        <f t="shared" si="12"/>
        <v>0</v>
      </c>
    </row>
    <row r="251" spans="1:27" ht="49.5" customHeight="1">
      <c r="A251" s="2">
        <v>250</v>
      </c>
      <c r="B251" s="2" t="s">
        <v>18</v>
      </c>
      <c r="C251" s="2" t="s">
        <v>75</v>
      </c>
      <c r="D251" s="2">
        <v>32</v>
      </c>
      <c r="E251" s="2" t="s">
        <v>288</v>
      </c>
      <c r="F251" s="2">
        <v>223</v>
      </c>
      <c r="G251" s="2" t="s">
        <v>745</v>
      </c>
      <c r="H251" s="2" t="s">
        <v>815</v>
      </c>
      <c r="I251" s="2" t="s">
        <v>816</v>
      </c>
      <c r="J251" s="2">
        <v>4000</v>
      </c>
      <c r="K251" s="2" t="s">
        <v>24</v>
      </c>
      <c r="L251" s="2" t="s">
        <v>25</v>
      </c>
      <c r="M251" s="2" t="s">
        <v>26</v>
      </c>
      <c r="N251" s="2" t="s">
        <v>26</v>
      </c>
      <c r="O251" s="2" t="s">
        <v>26</v>
      </c>
      <c r="P251" s="13">
        <v>100</v>
      </c>
      <c r="Q251" s="2" t="s">
        <v>35</v>
      </c>
      <c r="R251" s="2" t="s">
        <v>28</v>
      </c>
      <c r="S251" s="2" t="s">
        <v>751</v>
      </c>
      <c r="T251" s="2" t="s">
        <v>817</v>
      </c>
      <c r="U251" s="10">
        <v>0</v>
      </c>
      <c r="V251" s="52">
        <v>1</v>
      </c>
      <c r="W251" s="25"/>
      <c r="X251" s="66">
        <f t="shared" si="13"/>
        <v>4000</v>
      </c>
      <c r="Z251" s="84">
        <f t="shared" si="12"/>
        <v>0</v>
      </c>
    </row>
    <row r="252" spans="1:27" ht="49.5" customHeight="1">
      <c r="A252" s="2">
        <v>251</v>
      </c>
      <c r="B252" s="2" t="s">
        <v>18</v>
      </c>
      <c r="C252" s="2" t="s">
        <v>75</v>
      </c>
      <c r="D252" s="2">
        <v>30</v>
      </c>
      <c r="E252" s="2" t="s">
        <v>739</v>
      </c>
      <c r="F252" s="2">
        <v>220</v>
      </c>
      <c r="G252" s="2" t="s">
        <v>752</v>
      </c>
      <c r="H252" s="2" t="s">
        <v>764</v>
      </c>
      <c r="I252" s="2" t="s">
        <v>1203</v>
      </c>
      <c r="J252" s="2">
        <v>275</v>
      </c>
      <c r="K252" s="2" t="s">
        <v>24</v>
      </c>
      <c r="L252" s="2" t="s">
        <v>82</v>
      </c>
      <c r="M252" s="2" t="s">
        <v>26</v>
      </c>
      <c r="N252" s="2" t="s">
        <v>26</v>
      </c>
      <c r="O252" s="2" t="s">
        <v>26</v>
      </c>
      <c r="P252" s="13"/>
      <c r="Q252" s="2"/>
      <c r="R252" s="2" t="s">
        <v>28</v>
      </c>
      <c r="S252" s="2" t="s">
        <v>751</v>
      </c>
      <c r="T252" s="2"/>
      <c r="U252" s="10">
        <v>1</v>
      </c>
      <c r="V252" s="52">
        <v>0</v>
      </c>
      <c r="W252" s="25"/>
      <c r="X252" s="66">
        <f t="shared" si="13"/>
        <v>0</v>
      </c>
      <c r="Z252" s="84">
        <f t="shared" si="12"/>
        <v>275</v>
      </c>
    </row>
    <row r="253" spans="1:27" ht="49.5" customHeight="1">
      <c r="A253" s="2">
        <v>252</v>
      </c>
      <c r="B253" s="2" t="s">
        <v>18</v>
      </c>
      <c r="C253" s="2" t="s">
        <v>75</v>
      </c>
      <c r="D253" s="2">
        <v>30</v>
      </c>
      <c r="E253" s="2" t="s">
        <v>739</v>
      </c>
      <c r="F253" s="2">
        <v>220</v>
      </c>
      <c r="G253" s="2" t="s">
        <v>752</v>
      </c>
      <c r="H253" s="2" t="s">
        <v>764</v>
      </c>
      <c r="I253" s="2" t="s">
        <v>1204</v>
      </c>
      <c r="J253" s="2">
        <v>20</v>
      </c>
      <c r="K253" s="2" t="s">
        <v>24</v>
      </c>
      <c r="L253" s="2" t="s">
        <v>82</v>
      </c>
      <c r="M253" s="2" t="s">
        <v>26</v>
      </c>
      <c r="N253" s="2" t="s">
        <v>26</v>
      </c>
      <c r="O253" s="2" t="s">
        <v>26</v>
      </c>
      <c r="P253" s="13"/>
      <c r="Q253" s="2"/>
      <c r="R253" s="2" t="s">
        <v>28</v>
      </c>
      <c r="S253" s="2" t="s">
        <v>751</v>
      </c>
      <c r="T253" s="2"/>
      <c r="U253" s="10">
        <v>1</v>
      </c>
      <c r="V253" s="52">
        <v>0</v>
      </c>
      <c r="W253" s="25"/>
      <c r="X253" s="66">
        <f t="shared" si="13"/>
        <v>0</v>
      </c>
      <c r="Z253" s="84">
        <f t="shared" si="12"/>
        <v>20</v>
      </c>
    </row>
    <row r="254" spans="1:27" ht="49.5" customHeight="1">
      <c r="A254" s="2">
        <v>253</v>
      </c>
      <c r="B254" s="2" t="s">
        <v>347</v>
      </c>
      <c r="C254" s="2" t="s">
        <v>75</v>
      </c>
      <c r="D254" s="2">
        <v>30</v>
      </c>
      <c r="E254" s="2" t="s">
        <v>739</v>
      </c>
      <c r="F254" s="2">
        <v>221</v>
      </c>
      <c r="G254" s="2" t="s">
        <v>806</v>
      </c>
      <c r="H254" s="2" t="s">
        <v>818</v>
      </c>
      <c r="I254" s="2" t="s">
        <v>819</v>
      </c>
      <c r="J254" s="2">
        <v>10300</v>
      </c>
      <c r="K254" s="2" t="s">
        <v>89</v>
      </c>
      <c r="L254" s="2" t="s">
        <v>82</v>
      </c>
      <c r="M254" s="2" t="s">
        <v>26</v>
      </c>
      <c r="N254" s="2" t="s">
        <v>26</v>
      </c>
      <c r="O254" s="2" t="s">
        <v>215</v>
      </c>
      <c r="P254" s="2" t="s">
        <v>820</v>
      </c>
      <c r="Q254" s="2" t="s">
        <v>35</v>
      </c>
      <c r="R254" s="2" t="s">
        <v>821</v>
      </c>
      <c r="S254" s="23">
        <v>379712559</v>
      </c>
      <c r="T254" s="2" t="s">
        <v>822</v>
      </c>
      <c r="U254" s="10">
        <v>0</v>
      </c>
      <c r="V254" s="52">
        <v>1</v>
      </c>
      <c r="W254" s="25"/>
      <c r="X254" s="66">
        <f t="shared" si="13"/>
        <v>10300</v>
      </c>
      <c r="Z254" s="84">
        <f t="shared" si="12"/>
        <v>0</v>
      </c>
    </row>
    <row r="255" spans="1:27" ht="49.5" customHeight="1">
      <c r="A255" s="2">
        <v>254</v>
      </c>
      <c r="B255" s="2" t="s">
        <v>823</v>
      </c>
      <c r="C255" s="2" t="s">
        <v>75</v>
      </c>
      <c r="D255" s="2">
        <v>30</v>
      </c>
      <c r="E255" s="2" t="s">
        <v>739</v>
      </c>
      <c r="F255" s="2">
        <v>212</v>
      </c>
      <c r="G255" s="2" t="s">
        <v>740</v>
      </c>
      <c r="H255" s="2" t="s">
        <v>824</v>
      </c>
      <c r="I255" s="23" t="s">
        <v>825</v>
      </c>
      <c r="J255" s="23">
        <v>2011</v>
      </c>
      <c r="K255" s="2" t="s">
        <v>89</v>
      </c>
      <c r="L255" s="2" t="s">
        <v>176</v>
      </c>
      <c r="M255" s="2" t="s">
        <v>26</v>
      </c>
      <c r="N255" s="2" t="s">
        <v>26</v>
      </c>
      <c r="O255" s="2" t="s">
        <v>26</v>
      </c>
      <c r="P255" s="2" t="s">
        <v>820</v>
      </c>
      <c r="Q255" s="2" t="s">
        <v>35</v>
      </c>
      <c r="R255" s="2" t="s">
        <v>826</v>
      </c>
      <c r="S255" s="20" t="s">
        <v>827</v>
      </c>
      <c r="T255" s="2" t="s">
        <v>828</v>
      </c>
      <c r="U255" s="10">
        <v>0</v>
      </c>
      <c r="V255" s="52">
        <v>1</v>
      </c>
      <c r="W255" s="25"/>
      <c r="X255" s="66">
        <f t="shared" si="13"/>
        <v>2011</v>
      </c>
      <c r="Z255" s="84">
        <f t="shared" si="12"/>
        <v>0</v>
      </c>
    </row>
    <row r="256" spans="1:27" ht="49.5" customHeight="1">
      <c r="A256" s="2">
        <v>255</v>
      </c>
      <c r="B256" s="2" t="s">
        <v>823</v>
      </c>
      <c r="C256" s="2" t="s">
        <v>75</v>
      </c>
      <c r="D256" s="2">
        <v>30</v>
      </c>
      <c r="E256" s="2" t="s">
        <v>739</v>
      </c>
      <c r="F256" s="2">
        <v>216</v>
      </c>
      <c r="G256" s="2" t="s">
        <v>767</v>
      </c>
      <c r="H256" s="2" t="s">
        <v>829</v>
      </c>
      <c r="I256" s="23" t="s">
        <v>830</v>
      </c>
      <c r="J256" s="23">
        <v>4537</v>
      </c>
      <c r="K256" s="2" t="s">
        <v>89</v>
      </c>
      <c r="L256" s="2" t="s">
        <v>176</v>
      </c>
      <c r="M256" s="2" t="s">
        <v>26</v>
      </c>
      <c r="N256" s="2" t="s">
        <v>26</v>
      </c>
      <c r="O256" s="2" t="s">
        <v>215</v>
      </c>
      <c r="P256" s="2" t="s">
        <v>820</v>
      </c>
      <c r="Q256" s="2" t="s">
        <v>35</v>
      </c>
      <c r="R256" s="2" t="s">
        <v>831</v>
      </c>
      <c r="S256" s="21" t="s">
        <v>832</v>
      </c>
      <c r="T256" s="2"/>
      <c r="U256" s="10">
        <v>0</v>
      </c>
      <c r="V256" s="52">
        <v>1</v>
      </c>
      <c r="W256" s="25"/>
      <c r="X256" s="66">
        <f t="shared" si="13"/>
        <v>4537</v>
      </c>
      <c r="Z256" s="84">
        <f t="shared" si="12"/>
        <v>0</v>
      </c>
      <c r="AA256" s="25"/>
    </row>
    <row r="257" spans="1:28" ht="49.5" customHeight="1">
      <c r="A257" s="2">
        <v>256</v>
      </c>
      <c r="B257" s="2" t="s">
        <v>823</v>
      </c>
      <c r="C257" s="2" t="s">
        <v>75</v>
      </c>
      <c r="D257" s="2">
        <v>30</v>
      </c>
      <c r="E257" s="2" t="s">
        <v>739</v>
      </c>
      <c r="F257" s="2">
        <v>220</v>
      </c>
      <c r="G257" s="2" t="s">
        <v>752</v>
      </c>
      <c r="H257" s="2" t="s">
        <v>833</v>
      </c>
      <c r="I257" s="23" t="s">
        <v>834</v>
      </c>
      <c r="J257" s="23">
        <v>3392</v>
      </c>
      <c r="K257" s="2" t="s">
        <v>89</v>
      </c>
      <c r="L257" s="2" t="s">
        <v>25</v>
      </c>
      <c r="M257" s="2" t="s">
        <v>26</v>
      </c>
      <c r="N257" s="2" t="s">
        <v>26</v>
      </c>
      <c r="O257" s="2" t="s">
        <v>215</v>
      </c>
      <c r="P257" s="2" t="s">
        <v>750</v>
      </c>
      <c r="Q257" s="2"/>
      <c r="R257" s="2" t="s">
        <v>835</v>
      </c>
      <c r="S257" s="21" t="s">
        <v>836</v>
      </c>
      <c r="T257" s="2"/>
      <c r="U257" s="10">
        <v>0</v>
      </c>
      <c r="V257" s="52">
        <v>1</v>
      </c>
      <c r="W257" s="25"/>
      <c r="X257" s="66">
        <f t="shared" si="13"/>
        <v>3392</v>
      </c>
      <c r="Z257" s="84">
        <f t="shared" si="12"/>
        <v>0</v>
      </c>
    </row>
    <row r="258" spans="1:28" s="12" customFormat="1" ht="49.5" customHeight="1" thickBot="1">
      <c r="A258" s="2">
        <v>257</v>
      </c>
      <c r="B258" s="2" t="s">
        <v>823</v>
      </c>
      <c r="C258" s="2" t="s">
        <v>75</v>
      </c>
      <c r="D258" s="2">
        <v>30</v>
      </c>
      <c r="E258" s="2" t="s">
        <v>739</v>
      </c>
      <c r="F258" s="2">
        <v>221</v>
      </c>
      <c r="G258" s="2" t="s">
        <v>806</v>
      </c>
      <c r="H258" s="2" t="s">
        <v>837</v>
      </c>
      <c r="I258" s="23" t="s">
        <v>838</v>
      </c>
      <c r="J258" s="23">
        <v>1100</v>
      </c>
      <c r="K258" s="2" t="s">
        <v>89</v>
      </c>
      <c r="L258" s="2" t="s">
        <v>176</v>
      </c>
      <c r="M258" s="2" t="s">
        <v>26</v>
      </c>
      <c r="N258" s="2" t="s">
        <v>26</v>
      </c>
      <c r="O258" s="2" t="s">
        <v>26</v>
      </c>
      <c r="P258" s="2" t="s">
        <v>820</v>
      </c>
      <c r="Q258" s="2" t="s">
        <v>35</v>
      </c>
      <c r="R258" s="2" t="s">
        <v>839</v>
      </c>
      <c r="S258" s="20" t="s">
        <v>840</v>
      </c>
      <c r="T258" s="2"/>
      <c r="U258" s="10">
        <v>0</v>
      </c>
      <c r="V258" s="52">
        <v>1</v>
      </c>
      <c r="W258" s="25"/>
      <c r="X258" s="66">
        <f t="shared" si="13"/>
        <v>1100</v>
      </c>
      <c r="Y258" s="25"/>
      <c r="Z258" s="84">
        <f t="shared" si="12"/>
        <v>0</v>
      </c>
      <c r="AA258" s="24"/>
    </row>
    <row r="259" spans="1:28" ht="49.5" customHeight="1" thickBot="1">
      <c r="A259" s="2">
        <v>258</v>
      </c>
      <c r="B259" s="53" t="s">
        <v>823</v>
      </c>
      <c r="C259" s="53" t="s">
        <v>75</v>
      </c>
      <c r="D259" s="53">
        <v>30</v>
      </c>
      <c r="E259" s="53" t="s">
        <v>739</v>
      </c>
      <c r="F259" s="53">
        <v>221</v>
      </c>
      <c r="G259" s="53" t="s">
        <v>806</v>
      </c>
      <c r="H259" s="53" t="s">
        <v>841</v>
      </c>
      <c r="I259" s="90">
        <v>4715</v>
      </c>
      <c r="J259" s="90">
        <v>600</v>
      </c>
      <c r="K259" s="53" t="s">
        <v>89</v>
      </c>
      <c r="L259" s="53" t="s">
        <v>176</v>
      </c>
      <c r="M259" s="53" t="s">
        <v>26</v>
      </c>
      <c r="N259" s="53" t="s">
        <v>26</v>
      </c>
      <c r="O259" s="53" t="s">
        <v>26</v>
      </c>
      <c r="P259" s="53" t="s">
        <v>820</v>
      </c>
      <c r="Q259" s="53" t="s">
        <v>35</v>
      </c>
      <c r="R259" s="53" t="s">
        <v>839</v>
      </c>
      <c r="S259" s="69" t="s">
        <v>840</v>
      </c>
      <c r="T259" s="53"/>
      <c r="U259" s="63">
        <v>0</v>
      </c>
      <c r="V259" s="64">
        <v>1</v>
      </c>
      <c r="W259" s="54"/>
      <c r="X259" s="67">
        <f t="shared" si="13"/>
        <v>600</v>
      </c>
      <c r="Z259" s="87">
        <f t="shared" si="12"/>
        <v>0</v>
      </c>
      <c r="AA259" s="120">
        <f>SUM(Z225:Z259)</f>
        <v>14184.7</v>
      </c>
      <c r="AB259" s="93">
        <f>SUM(J225:J259)</f>
        <v>56764</v>
      </c>
    </row>
    <row r="260" spans="1:28" ht="49.5" customHeight="1">
      <c r="A260" s="2">
        <v>259</v>
      </c>
      <c r="B260" s="105" t="s">
        <v>18</v>
      </c>
      <c r="C260" s="105" t="s">
        <v>79</v>
      </c>
      <c r="D260" s="105">
        <v>21</v>
      </c>
      <c r="E260" s="105" t="s">
        <v>31</v>
      </c>
      <c r="F260" s="105">
        <v>6</v>
      </c>
      <c r="G260" s="105" t="s">
        <v>32</v>
      </c>
      <c r="H260" s="105" t="s">
        <v>33</v>
      </c>
      <c r="I260" s="105" t="s">
        <v>34</v>
      </c>
      <c r="J260" s="105">
        <v>3000</v>
      </c>
      <c r="K260" s="105" t="s">
        <v>24</v>
      </c>
      <c r="L260" s="105" t="s">
        <v>25</v>
      </c>
      <c r="M260" s="105" t="s">
        <v>26</v>
      </c>
      <c r="N260" s="105" t="s">
        <v>26</v>
      </c>
      <c r="O260" s="105" t="s">
        <v>26</v>
      </c>
      <c r="P260" s="106">
        <v>100</v>
      </c>
      <c r="Q260" s="105" t="s">
        <v>35</v>
      </c>
      <c r="R260" s="105" t="s">
        <v>28</v>
      </c>
      <c r="S260" s="105" t="s">
        <v>29</v>
      </c>
      <c r="T260" s="105" t="s">
        <v>36</v>
      </c>
      <c r="U260" s="108">
        <v>0</v>
      </c>
      <c r="V260" s="109">
        <v>1</v>
      </c>
      <c r="W260" s="25"/>
      <c r="X260" s="66">
        <f t="shared" si="13"/>
        <v>3000</v>
      </c>
      <c r="Y260" s="84"/>
      <c r="Z260" s="83">
        <f t="shared" si="12"/>
        <v>0</v>
      </c>
    </row>
    <row r="261" spans="1:28" ht="49.5" customHeight="1">
      <c r="A261" s="2">
        <v>260</v>
      </c>
      <c r="B261" s="2" t="s">
        <v>18</v>
      </c>
      <c r="C261" s="2" t="s">
        <v>79</v>
      </c>
      <c r="D261" s="2"/>
      <c r="E261" s="2" t="s">
        <v>842</v>
      </c>
      <c r="F261" s="2">
        <v>187</v>
      </c>
      <c r="G261" s="2" t="s">
        <v>843</v>
      </c>
      <c r="H261" s="2" t="s">
        <v>844</v>
      </c>
      <c r="I261" s="2" t="s">
        <v>845</v>
      </c>
      <c r="J261" s="17">
        <v>1000</v>
      </c>
      <c r="K261" s="2" t="s">
        <v>24</v>
      </c>
      <c r="L261" s="2" t="s">
        <v>82</v>
      </c>
      <c r="M261" s="2" t="s">
        <v>26</v>
      </c>
      <c r="N261" s="2" t="s">
        <v>26</v>
      </c>
      <c r="O261" s="2" t="s">
        <v>26</v>
      </c>
      <c r="P261" s="13"/>
      <c r="Q261" s="2" t="s">
        <v>846</v>
      </c>
      <c r="R261" s="2" t="s">
        <v>28</v>
      </c>
      <c r="S261" s="16"/>
      <c r="T261" s="2"/>
      <c r="U261" s="10">
        <v>1</v>
      </c>
      <c r="V261" s="52">
        <v>0</v>
      </c>
      <c r="W261" s="25"/>
      <c r="X261" s="66">
        <f t="shared" si="13"/>
        <v>0</v>
      </c>
      <c r="Y261" s="84"/>
      <c r="Z261" s="84">
        <f t="shared" si="12"/>
        <v>1000</v>
      </c>
    </row>
    <row r="262" spans="1:28" ht="49.5" customHeight="1">
      <c r="A262" s="2">
        <v>261</v>
      </c>
      <c r="B262" s="105" t="s">
        <v>18</v>
      </c>
      <c r="C262" s="105" t="s">
        <v>79</v>
      </c>
      <c r="D262" s="105">
        <v>36</v>
      </c>
      <c r="E262" s="105" t="s">
        <v>318</v>
      </c>
      <c r="F262" s="105">
        <v>174</v>
      </c>
      <c r="G262" s="105" t="s">
        <v>367</v>
      </c>
      <c r="H262" s="105" t="s">
        <v>847</v>
      </c>
      <c r="I262" s="105" t="s">
        <v>848</v>
      </c>
      <c r="J262" s="112">
        <v>700</v>
      </c>
      <c r="K262" s="105" t="s">
        <v>24</v>
      </c>
      <c r="L262" s="105" t="s">
        <v>82</v>
      </c>
      <c r="M262" s="105" t="s">
        <v>26</v>
      </c>
      <c r="N262" s="105" t="s">
        <v>26</v>
      </c>
      <c r="O262" s="105" t="s">
        <v>26</v>
      </c>
      <c r="P262" s="106"/>
      <c r="Q262" s="105" t="s">
        <v>849</v>
      </c>
      <c r="R262" s="105" t="s">
        <v>293</v>
      </c>
      <c r="S262" s="111"/>
      <c r="T262" s="105"/>
      <c r="U262" s="108">
        <v>1</v>
      </c>
      <c r="V262" s="109">
        <v>0</v>
      </c>
      <c r="W262" s="25"/>
      <c r="X262" s="66">
        <f t="shared" si="13"/>
        <v>0</v>
      </c>
      <c r="Z262" s="84">
        <f t="shared" si="12"/>
        <v>700</v>
      </c>
    </row>
    <row r="263" spans="1:28" ht="49.5" customHeight="1">
      <c r="A263" s="2">
        <v>262</v>
      </c>
      <c r="B263" s="2" t="s">
        <v>18</v>
      </c>
      <c r="C263" s="2" t="s">
        <v>79</v>
      </c>
      <c r="D263" s="2">
        <v>18</v>
      </c>
      <c r="E263" s="2" t="s">
        <v>20</v>
      </c>
      <c r="F263" s="2">
        <v>155</v>
      </c>
      <c r="G263" s="2" t="s">
        <v>850</v>
      </c>
      <c r="H263" s="22" t="s">
        <v>851</v>
      </c>
      <c r="I263" s="2" t="s">
        <v>852</v>
      </c>
      <c r="J263" s="17">
        <v>800</v>
      </c>
      <c r="K263" s="2" t="s">
        <v>24</v>
      </c>
      <c r="L263" s="2" t="s">
        <v>25</v>
      </c>
      <c r="M263" s="2" t="s">
        <v>26</v>
      </c>
      <c r="N263" s="2" t="s">
        <v>26</v>
      </c>
      <c r="O263" s="2" t="s">
        <v>26</v>
      </c>
      <c r="P263" s="13">
        <v>70</v>
      </c>
      <c r="Q263" s="2" t="s">
        <v>35</v>
      </c>
      <c r="R263" s="2" t="s">
        <v>28</v>
      </c>
      <c r="S263" s="2" t="s">
        <v>853</v>
      </c>
      <c r="T263" s="22" t="s">
        <v>854</v>
      </c>
      <c r="U263" s="10">
        <v>0</v>
      </c>
      <c r="V263" s="52">
        <v>1</v>
      </c>
      <c r="W263" s="25"/>
      <c r="X263" s="66">
        <f t="shared" si="13"/>
        <v>800</v>
      </c>
      <c r="Z263" s="84">
        <f t="shared" si="12"/>
        <v>0</v>
      </c>
    </row>
    <row r="264" spans="1:28" ht="49.5" customHeight="1">
      <c r="A264" s="2">
        <v>263</v>
      </c>
      <c r="B264" s="2" t="s">
        <v>18</v>
      </c>
      <c r="C264" s="2" t="s">
        <v>79</v>
      </c>
      <c r="D264" s="2">
        <v>19</v>
      </c>
      <c r="E264" s="2" t="s">
        <v>323</v>
      </c>
      <c r="F264" s="2">
        <v>157</v>
      </c>
      <c r="G264" s="2" t="s">
        <v>705</v>
      </c>
      <c r="H264" s="22" t="s">
        <v>855</v>
      </c>
      <c r="I264" s="2" t="s">
        <v>856</v>
      </c>
      <c r="J264" s="17">
        <v>800</v>
      </c>
      <c r="K264" s="2" t="s">
        <v>24</v>
      </c>
      <c r="L264" s="2" t="s">
        <v>25</v>
      </c>
      <c r="M264" s="2" t="s">
        <v>26</v>
      </c>
      <c r="N264" s="2" t="s">
        <v>26</v>
      </c>
      <c r="O264" s="2" t="s">
        <v>26</v>
      </c>
      <c r="P264" s="13">
        <v>80</v>
      </c>
      <c r="Q264" s="2" t="s">
        <v>35</v>
      </c>
      <c r="R264" s="2" t="s">
        <v>28</v>
      </c>
      <c r="S264" s="2" t="s">
        <v>853</v>
      </c>
      <c r="T264" s="22" t="s">
        <v>857</v>
      </c>
      <c r="U264" s="10">
        <v>0</v>
      </c>
      <c r="V264" s="52">
        <v>1</v>
      </c>
      <c r="W264" s="25"/>
      <c r="X264" s="66">
        <f t="shared" si="13"/>
        <v>800</v>
      </c>
      <c r="Z264" s="84">
        <f t="shared" si="12"/>
        <v>0</v>
      </c>
    </row>
    <row r="265" spans="1:28" ht="49.5" customHeight="1">
      <c r="A265" s="2">
        <v>264</v>
      </c>
      <c r="B265" s="2" t="s">
        <v>18</v>
      </c>
      <c r="C265" s="2" t="s">
        <v>79</v>
      </c>
      <c r="D265" s="2">
        <v>21</v>
      </c>
      <c r="E265" s="2" t="s">
        <v>31</v>
      </c>
      <c r="F265" s="2">
        <v>174</v>
      </c>
      <c r="G265" s="2" t="s">
        <v>367</v>
      </c>
      <c r="H265" s="2" t="s">
        <v>858</v>
      </c>
      <c r="I265" s="2" t="s">
        <v>859</v>
      </c>
      <c r="J265" s="17">
        <v>2000</v>
      </c>
      <c r="K265" s="2" t="s">
        <v>24</v>
      </c>
      <c r="L265" s="2" t="s">
        <v>176</v>
      </c>
      <c r="M265" s="2" t="s">
        <v>26</v>
      </c>
      <c r="N265" s="2" t="s">
        <v>26</v>
      </c>
      <c r="O265" s="2" t="s">
        <v>26</v>
      </c>
      <c r="P265" s="13">
        <v>80</v>
      </c>
      <c r="Q265" s="2" t="s">
        <v>35</v>
      </c>
      <c r="R265" s="2" t="s">
        <v>28</v>
      </c>
      <c r="S265" s="2" t="s">
        <v>328</v>
      </c>
      <c r="T265" s="2" t="s">
        <v>858</v>
      </c>
      <c r="U265" s="10">
        <v>0</v>
      </c>
      <c r="V265" s="52">
        <v>1</v>
      </c>
      <c r="W265" s="25"/>
      <c r="X265" s="66">
        <f t="shared" si="13"/>
        <v>2000</v>
      </c>
      <c r="Z265" s="84">
        <f t="shared" si="12"/>
        <v>0</v>
      </c>
    </row>
    <row r="266" spans="1:28" ht="49.5" customHeight="1">
      <c r="A266" s="2">
        <v>265</v>
      </c>
      <c r="B266" s="2" t="s">
        <v>18</v>
      </c>
      <c r="C266" s="2" t="s">
        <v>79</v>
      </c>
      <c r="D266" s="2">
        <v>21</v>
      </c>
      <c r="E266" s="2" t="s">
        <v>31</v>
      </c>
      <c r="F266" s="2">
        <v>6</v>
      </c>
      <c r="G266" s="2" t="s">
        <v>32</v>
      </c>
      <c r="H266" s="22" t="s">
        <v>860</v>
      </c>
      <c r="I266" s="2" t="s">
        <v>861</v>
      </c>
      <c r="J266" s="17">
        <v>2000</v>
      </c>
      <c r="K266" s="2" t="s">
        <v>24</v>
      </c>
      <c r="L266" s="2" t="s">
        <v>25</v>
      </c>
      <c r="M266" s="2" t="s">
        <v>26</v>
      </c>
      <c r="N266" s="2" t="s">
        <v>26</v>
      </c>
      <c r="O266" s="2" t="s">
        <v>26</v>
      </c>
      <c r="P266" s="13">
        <v>70</v>
      </c>
      <c r="Q266" s="2" t="s">
        <v>35</v>
      </c>
      <c r="R266" s="2" t="s">
        <v>28</v>
      </c>
      <c r="S266" s="2" t="s">
        <v>862</v>
      </c>
      <c r="T266" s="22" t="s">
        <v>863</v>
      </c>
      <c r="U266" s="10">
        <v>0</v>
      </c>
      <c r="V266" s="52">
        <v>1</v>
      </c>
      <c r="W266" s="25"/>
      <c r="X266" s="66">
        <f t="shared" si="13"/>
        <v>2000</v>
      </c>
      <c r="Z266" s="84">
        <f t="shared" si="12"/>
        <v>0</v>
      </c>
    </row>
    <row r="267" spans="1:28" ht="49.5" customHeight="1">
      <c r="A267" s="2">
        <v>266</v>
      </c>
      <c r="B267" s="2" t="s">
        <v>18</v>
      </c>
      <c r="C267" s="2" t="s">
        <v>79</v>
      </c>
      <c r="D267" s="2">
        <v>21</v>
      </c>
      <c r="E267" s="2" t="s">
        <v>31</v>
      </c>
      <c r="F267" s="2">
        <v>6</v>
      </c>
      <c r="G267" s="2" t="s">
        <v>32</v>
      </c>
      <c r="H267" s="22" t="s">
        <v>864</v>
      </c>
      <c r="I267" s="2">
        <v>674</v>
      </c>
      <c r="J267" s="17">
        <v>500</v>
      </c>
      <c r="K267" s="2" t="s">
        <v>24</v>
      </c>
      <c r="L267" s="2" t="s">
        <v>25</v>
      </c>
      <c r="M267" s="2" t="s">
        <v>26</v>
      </c>
      <c r="N267" s="2" t="s">
        <v>26</v>
      </c>
      <c r="O267" s="2" t="s">
        <v>26</v>
      </c>
      <c r="P267" s="13">
        <v>80</v>
      </c>
      <c r="Q267" s="2" t="s">
        <v>35</v>
      </c>
      <c r="R267" s="2" t="s">
        <v>28</v>
      </c>
      <c r="S267" s="2" t="s">
        <v>862</v>
      </c>
      <c r="T267" s="2" t="s">
        <v>865</v>
      </c>
      <c r="U267" s="10">
        <v>0</v>
      </c>
      <c r="V267" s="52">
        <v>1</v>
      </c>
      <c r="W267" s="25"/>
      <c r="X267" s="66">
        <f t="shared" si="13"/>
        <v>500</v>
      </c>
      <c r="Z267" s="84">
        <f t="shared" si="12"/>
        <v>0</v>
      </c>
    </row>
    <row r="268" spans="1:28" ht="49.5" customHeight="1">
      <c r="A268" s="2">
        <v>267</v>
      </c>
      <c r="B268" s="2" t="s">
        <v>18</v>
      </c>
      <c r="C268" s="2" t="s">
        <v>79</v>
      </c>
      <c r="D268" s="2">
        <v>21</v>
      </c>
      <c r="E268" s="2" t="s">
        <v>31</v>
      </c>
      <c r="F268" s="2">
        <v>6</v>
      </c>
      <c r="G268" s="2" t="s">
        <v>32</v>
      </c>
      <c r="H268" s="22" t="s">
        <v>866</v>
      </c>
      <c r="I268" s="2" t="s">
        <v>867</v>
      </c>
      <c r="J268" s="17">
        <v>2500</v>
      </c>
      <c r="K268" s="2" t="s">
        <v>24</v>
      </c>
      <c r="L268" s="2" t="s">
        <v>176</v>
      </c>
      <c r="M268" s="2" t="s">
        <v>26</v>
      </c>
      <c r="N268" s="2" t="s">
        <v>26</v>
      </c>
      <c r="O268" s="2" t="s">
        <v>26</v>
      </c>
      <c r="P268" s="13">
        <v>100</v>
      </c>
      <c r="Q268" s="2" t="s">
        <v>35</v>
      </c>
      <c r="R268" s="2" t="s">
        <v>28</v>
      </c>
      <c r="S268" s="2" t="s">
        <v>862</v>
      </c>
      <c r="T268" s="22" t="s">
        <v>868</v>
      </c>
      <c r="U268" s="10">
        <v>0</v>
      </c>
      <c r="V268" s="52">
        <v>1</v>
      </c>
      <c r="W268" s="25"/>
      <c r="X268" s="66">
        <f t="shared" si="13"/>
        <v>2500</v>
      </c>
      <c r="Z268" s="84">
        <f t="shared" si="12"/>
        <v>0</v>
      </c>
      <c r="AA268" s="25"/>
    </row>
    <row r="269" spans="1:28" ht="49.5" customHeight="1">
      <c r="A269" s="2">
        <v>268</v>
      </c>
      <c r="B269" s="2" t="s">
        <v>18</v>
      </c>
      <c r="C269" s="2" t="s">
        <v>79</v>
      </c>
      <c r="D269" s="2">
        <v>21</v>
      </c>
      <c r="E269" s="2" t="s">
        <v>31</v>
      </c>
      <c r="F269" s="2">
        <v>174</v>
      </c>
      <c r="G269" s="2" t="s">
        <v>367</v>
      </c>
      <c r="H269" s="22" t="s">
        <v>869</v>
      </c>
      <c r="I269" s="2" t="s">
        <v>870</v>
      </c>
      <c r="J269" s="17">
        <v>1900</v>
      </c>
      <c r="K269" s="2" t="s">
        <v>24</v>
      </c>
      <c r="L269" s="2" t="s">
        <v>82</v>
      </c>
      <c r="M269" s="2" t="s">
        <v>26</v>
      </c>
      <c r="N269" s="2" t="s">
        <v>26</v>
      </c>
      <c r="O269" s="2" t="s">
        <v>26</v>
      </c>
      <c r="P269" s="13">
        <v>120</v>
      </c>
      <c r="Q269" s="2" t="s">
        <v>35</v>
      </c>
      <c r="R269" s="2" t="s">
        <v>28</v>
      </c>
      <c r="S269" s="2" t="s">
        <v>853</v>
      </c>
      <c r="T269" s="22" t="s">
        <v>871</v>
      </c>
      <c r="U269" s="10">
        <v>0</v>
      </c>
      <c r="V269" s="52">
        <v>1</v>
      </c>
      <c r="W269" s="25"/>
      <c r="X269" s="66">
        <f t="shared" si="13"/>
        <v>1900</v>
      </c>
      <c r="Z269" s="84">
        <f t="shared" si="12"/>
        <v>0</v>
      </c>
    </row>
    <row r="270" spans="1:28" ht="49.5" customHeight="1">
      <c r="A270" s="2">
        <v>269</v>
      </c>
      <c r="B270" s="2" t="s">
        <v>18</v>
      </c>
      <c r="C270" s="2" t="s">
        <v>79</v>
      </c>
      <c r="D270" s="2">
        <v>21</v>
      </c>
      <c r="E270" s="2" t="s">
        <v>31</v>
      </c>
      <c r="F270" s="2">
        <v>174</v>
      </c>
      <c r="G270" s="2" t="s">
        <v>367</v>
      </c>
      <c r="H270" s="22" t="s">
        <v>872</v>
      </c>
      <c r="I270" s="2" t="s">
        <v>873</v>
      </c>
      <c r="J270" s="17">
        <v>1500</v>
      </c>
      <c r="K270" s="2" t="s">
        <v>24</v>
      </c>
      <c r="L270" s="2" t="s">
        <v>25</v>
      </c>
      <c r="M270" s="2" t="s">
        <v>26</v>
      </c>
      <c r="N270" s="2" t="s">
        <v>26</v>
      </c>
      <c r="O270" s="2" t="s">
        <v>215</v>
      </c>
      <c r="P270" s="13">
        <v>150</v>
      </c>
      <c r="Q270" s="2" t="s">
        <v>35</v>
      </c>
      <c r="R270" s="2" t="s">
        <v>28</v>
      </c>
      <c r="S270" s="2" t="s">
        <v>853</v>
      </c>
      <c r="T270" s="2" t="s">
        <v>874</v>
      </c>
      <c r="U270" s="10">
        <v>0</v>
      </c>
      <c r="V270" s="52">
        <v>1</v>
      </c>
      <c r="W270" s="25"/>
      <c r="X270" s="66">
        <f t="shared" si="13"/>
        <v>1500</v>
      </c>
      <c r="Z270" s="84">
        <f t="shared" si="12"/>
        <v>0</v>
      </c>
    </row>
    <row r="271" spans="1:28" ht="49.5" customHeight="1">
      <c r="A271" s="2">
        <v>270</v>
      </c>
      <c r="B271" s="2" t="s">
        <v>18</v>
      </c>
      <c r="C271" s="2" t="s">
        <v>79</v>
      </c>
      <c r="D271" s="2">
        <v>21</v>
      </c>
      <c r="E271" s="2" t="s">
        <v>31</v>
      </c>
      <c r="F271" s="2">
        <v>174</v>
      </c>
      <c r="G271" s="2" t="s">
        <v>367</v>
      </c>
      <c r="H271" s="22" t="s">
        <v>875</v>
      </c>
      <c r="I271" s="2" t="s">
        <v>876</v>
      </c>
      <c r="J271" s="17">
        <v>500</v>
      </c>
      <c r="K271" s="2" t="s">
        <v>24</v>
      </c>
      <c r="L271" s="2" t="s">
        <v>25</v>
      </c>
      <c r="M271" s="2" t="s">
        <v>26</v>
      </c>
      <c r="N271" s="2" t="s">
        <v>26</v>
      </c>
      <c r="O271" s="2" t="s">
        <v>26</v>
      </c>
      <c r="P271" s="13">
        <v>100</v>
      </c>
      <c r="Q271" s="2" t="s">
        <v>35</v>
      </c>
      <c r="R271" s="2" t="s">
        <v>28</v>
      </c>
      <c r="S271" s="2" t="s">
        <v>853</v>
      </c>
      <c r="T271" s="2" t="s">
        <v>877</v>
      </c>
      <c r="U271" s="10">
        <v>0</v>
      </c>
      <c r="V271" s="52">
        <v>1</v>
      </c>
      <c r="W271" s="25"/>
      <c r="X271" s="66">
        <f t="shared" si="13"/>
        <v>500</v>
      </c>
      <c r="Z271" s="84">
        <f t="shared" si="12"/>
        <v>0</v>
      </c>
    </row>
    <row r="272" spans="1:28" s="12" customFormat="1" ht="49.5" customHeight="1">
      <c r="A272" s="2">
        <v>271</v>
      </c>
      <c r="B272" s="2" t="s">
        <v>18</v>
      </c>
      <c r="C272" s="2" t="s">
        <v>79</v>
      </c>
      <c r="D272" s="2">
        <v>21</v>
      </c>
      <c r="E272" s="2" t="s">
        <v>31</v>
      </c>
      <c r="F272" s="2">
        <v>174</v>
      </c>
      <c r="G272" s="2" t="s">
        <v>367</v>
      </c>
      <c r="H272" s="22" t="s">
        <v>878</v>
      </c>
      <c r="I272" s="2" t="s">
        <v>879</v>
      </c>
      <c r="J272" s="17">
        <v>500</v>
      </c>
      <c r="K272" s="2" t="s">
        <v>24</v>
      </c>
      <c r="L272" s="2" t="s">
        <v>25</v>
      </c>
      <c r="M272" s="2" t="s">
        <v>26</v>
      </c>
      <c r="N272" s="2" t="s">
        <v>26</v>
      </c>
      <c r="O272" s="2" t="s">
        <v>26</v>
      </c>
      <c r="P272" s="13">
        <v>80</v>
      </c>
      <c r="Q272" s="2" t="s">
        <v>880</v>
      </c>
      <c r="R272" s="2" t="s">
        <v>28</v>
      </c>
      <c r="S272" s="2" t="s">
        <v>853</v>
      </c>
      <c r="T272" s="22" t="s">
        <v>881</v>
      </c>
      <c r="U272" s="10">
        <v>0</v>
      </c>
      <c r="V272" s="52">
        <v>1</v>
      </c>
      <c r="W272" s="25"/>
      <c r="X272" s="66">
        <f t="shared" si="13"/>
        <v>500</v>
      </c>
      <c r="Y272" s="25"/>
      <c r="Z272" s="84">
        <f t="shared" si="12"/>
        <v>0</v>
      </c>
      <c r="AA272" s="24"/>
    </row>
    <row r="273" spans="1:27" ht="49.5" customHeight="1">
      <c r="A273" s="2">
        <v>272</v>
      </c>
      <c r="B273" s="2" t="s">
        <v>18</v>
      </c>
      <c r="C273" s="2" t="s">
        <v>79</v>
      </c>
      <c r="D273" s="2">
        <v>21</v>
      </c>
      <c r="E273" s="2" t="s">
        <v>31</v>
      </c>
      <c r="F273" s="2">
        <v>176</v>
      </c>
      <c r="G273" s="2" t="s">
        <v>400</v>
      </c>
      <c r="H273" s="22" t="s">
        <v>882</v>
      </c>
      <c r="I273" s="2" t="s">
        <v>883</v>
      </c>
      <c r="J273" s="17">
        <v>300</v>
      </c>
      <c r="K273" s="2" t="s">
        <v>568</v>
      </c>
      <c r="L273" s="2" t="s">
        <v>176</v>
      </c>
      <c r="M273" s="2" t="s">
        <v>26</v>
      </c>
      <c r="N273" s="2" t="s">
        <v>26</v>
      </c>
      <c r="O273" s="2" t="s">
        <v>26</v>
      </c>
      <c r="P273" s="13">
        <v>150</v>
      </c>
      <c r="Q273" s="2" t="s">
        <v>35</v>
      </c>
      <c r="R273" s="2" t="s">
        <v>28</v>
      </c>
      <c r="S273" s="2" t="s">
        <v>884</v>
      </c>
      <c r="T273" s="2" t="s">
        <v>885</v>
      </c>
      <c r="U273" s="10">
        <v>0</v>
      </c>
      <c r="V273" s="52">
        <v>1</v>
      </c>
      <c r="W273" s="25"/>
      <c r="X273" s="66">
        <f t="shared" si="13"/>
        <v>300</v>
      </c>
      <c r="Z273" s="84">
        <f t="shared" si="12"/>
        <v>0</v>
      </c>
    </row>
    <row r="274" spans="1:27" ht="49.5" customHeight="1">
      <c r="A274" s="2">
        <v>273</v>
      </c>
      <c r="B274" s="2" t="s">
        <v>18</v>
      </c>
      <c r="C274" s="2" t="s">
        <v>79</v>
      </c>
      <c r="D274" s="2">
        <v>21</v>
      </c>
      <c r="E274" s="2" t="s">
        <v>31</v>
      </c>
      <c r="F274" s="2">
        <v>176</v>
      </c>
      <c r="G274" s="2" t="s">
        <v>400</v>
      </c>
      <c r="H274" s="22" t="s">
        <v>886</v>
      </c>
      <c r="I274" s="2" t="s">
        <v>887</v>
      </c>
      <c r="J274" s="17">
        <v>500</v>
      </c>
      <c r="K274" s="2" t="s">
        <v>24</v>
      </c>
      <c r="L274" s="2" t="s">
        <v>176</v>
      </c>
      <c r="M274" s="2" t="s">
        <v>26</v>
      </c>
      <c r="N274" s="2" t="s">
        <v>26</v>
      </c>
      <c r="O274" s="2" t="s">
        <v>26</v>
      </c>
      <c r="P274" s="13">
        <v>100</v>
      </c>
      <c r="Q274" s="2" t="s">
        <v>35</v>
      </c>
      <c r="R274" s="2" t="s">
        <v>28</v>
      </c>
      <c r="S274" s="2" t="s">
        <v>853</v>
      </c>
      <c r="T274" s="22" t="s">
        <v>888</v>
      </c>
      <c r="U274" s="10">
        <v>0</v>
      </c>
      <c r="V274" s="52">
        <v>1</v>
      </c>
      <c r="W274" s="25"/>
      <c r="X274" s="66">
        <f t="shared" si="13"/>
        <v>500</v>
      </c>
      <c r="Z274" s="84">
        <f t="shared" ref="Z274:Z303" si="14">J274-X274</f>
        <v>0</v>
      </c>
    </row>
    <row r="275" spans="1:27" ht="49.5" customHeight="1">
      <c r="A275" s="2">
        <v>274</v>
      </c>
      <c r="B275" s="2" t="s">
        <v>18</v>
      </c>
      <c r="C275" s="2" t="s">
        <v>79</v>
      </c>
      <c r="D275" s="2">
        <v>21</v>
      </c>
      <c r="E275" s="2" t="s">
        <v>31</v>
      </c>
      <c r="F275" s="2">
        <v>179</v>
      </c>
      <c r="G275" s="2" t="s">
        <v>889</v>
      </c>
      <c r="H275" s="22" t="s">
        <v>890</v>
      </c>
      <c r="I275" s="2" t="s">
        <v>891</v>
      </c>
      <c r="J275" s="17">
        <v>2900</v>
      </c>
      <c r="K275" s="2" t="s">
        <v>24</v>
      </c>
      <c r="L275" s="2" t="s">
        <v>176</v>
      </c>
      <c r="M275" s="2" t="s">
        <v>26</v>
      </c>
      <c r="N275" s="2" t="s">
        <v>26</v>
      </c>
      <c r="O275" s="2" t="s">
        <v>26</v>
      </c>
      <c r="P275" s="13">
        <v>60</v>
      </c>
      <c r="Q275" s="2" t="s">
        <v>35</v>
      </c>
      <c r="R275" s="2" t="s">
        <v>28</v>
      </c>
      <c r="S275" s="2" t="s">
        <v>892</v>
      </c>
      <c r="T275" s="2" t="s">
        <v>893</v>
      </c>
      <c r="U275" s="10">
        <v>0</v>
      </c>
      <c r="V275" s="52">
        <v>1</v>
      </c>
      <c r="W275" s="25"/>
      <c r="X275" s="66">
        <f t="shared" si="13"/>
        <v>2900</v>
      </c>
      <c r="Z275" s="84">
        <f t="shared" si="14"/>
        <v>0</v>
      </c>
    </row>
    <row r="276" spans="1:27" ht="49.5" customHeight="1">
      <c r="A276" s="2">
        <v>275</v>
      </c>
      <c r="B276" s="2" t="s">
        <v>18</v>
      </c>
      <c r="C276" s="2" t="s">
        <v>79</v>
      </c>
      <c r="D276" s="2">
        <v>21</v>
      </c>
      <c r="E276" s="2" t="s">
        <v>31</v>
      </c>
      <c r="F276" s="2">
        <v>179</v>
      </c>
      <c r="G276" s="2" t="s">
        <v>889</v>
      </c>
      <c r="H276" s="22" t="s">
        <v>894</v>
      </c>
      <c r="I276" s="2" t="s">
        <v>895</v>
      </c>
      <c r="J276" s="17">
        <v>1500</v>
      </c>
      <c r="K276" s="2" t="s">
        <v>24</v>
      </c>
      <c r="L276" s="2" t="s">
        <v>896</v>
      </c>
      <c r="M276" s="2" t="s">
        <v>26</v>
      </c>
      <c r="N276" s="2" t="s">
        <v>26</v>
      </c>
      <c r="O276" s="2" t="s">
        <v>26</v>
      </c>
      <c r="P276" s="13">
        <v>70</v>
      </c>
      <c r="Q276" s="2" t="s">
        <v>35</v>
      </c>
      <c r="R276" s="2" t="s">
        <v>28</v>
      </c>
      <c r="S276" s="2" t="s">
        <v>892</v>
      </c>
      <c r="T276" s="22" t="s">
        <v>897</v>
      </c>
      <c r="U276" s="10">
        <v>0</v>
      </c>
      <c r="V276" s="52">
        <v>1</v>
      </c>
      <c r="W276" s="25"/>
      <c r="X276" s="66">
        <f t="shared" si="13"/>
        <v>1500</v>
      </c>
      <c r="Z276" s="84">
        <f t="shared" si="14"/>
        <v>0</v>
      </c>
    </row>
    <row r="277" spans="1:27" ht="49.5" customHeight="1">
      <c r="A277" s="2">
        <v>276</v>
      </c>
      <c r="B277" s="2" t="s">
        <v>18</v>
      </c>
      <c r="C277" s="2" t="s">
        <v>79</v>
      </c>
      <c r="D277" s="2">
        <v>21</v>
      </c>
      <c r="E277" s="2" t="s">
        <v>31</v>
      </c>
      <c r="F277" s="2">
        <v>179</v>
      </c>
      <c r="G277" s="2" t="s">
        <v>889</v>
      </c>
      <c r="H277" s="22" t="s">
        <v>898</v>
      </c>
      <c r="I277" s="2" t="s">
        <v>899</v>
      </c>
      <c r="J277" s="17">
        <v>1300</v>
      </c>
      <c r="K277" s="2" t="s">
        <v>24</v>
      </c>
      <c r="L277" s="2" t="s">
        <v>176</v>
      </c>
      <c r="M277" s="2" t="s">
        <v>26</v>
      </c>
      <c r="N277" s="2" t="s">
        <v>26</v>
      </c>
      <c r="O277" s="2" t="s">
        <v>26</v>
      </c>
      <c r="P277" s="13">
        <v>60</v>
      </c>
      <c r="Q277" s="2" t="s">
        <v>35</v>
      </c>
      <c r="R277" s="2" t="s">
        <v>28</v>
      </c>
      <c r="S277" s="2" t="s">
        <v>892</v>
      </c>
      <c r="T277" s="22" t="s">
        <v>900</v>
      </c>
      <c r="U277" s="10">
        <v>0</v>
      </c>
      <c r="V277" s="52">
        <v>1</v>
      </c>
      <c r="W277" s="25"/>
      <c r="X277" s="66">
        <f t="shared" si="13"/>
        <v>1300</v>
      </c>
      <c r="Z277" s="84">
        <f t="shared" si="14"/>
        <v>0</v>
      </c>
    </row>
    <row r="278" spans="1:27" ht="49.5" customHeight="1">
      <c r="A278" s="2">
        <v>277</v>
      </c>
      <c r="B278" s="2" t="s">
        <v>18</v>
      </c>
      <c r="C278" s="2" t="s">
        <v>79</v>
      </c>
      <c r="D278" s="2">
        <v>21</v>
      </c>
      <c r="E278" s="2" t="s">
        <v>31</v>
      </c>
      <c r="F278" s="2">
        <v>179</v>
      </c>
      <c r="G278" s="2" t="s">
        <v>889</v>
      </c>
      <c r="H278" s="22" t="s">
        <v>901</v>
      </c>
      <c r="I278" s="2" t="s">
        <v>902</v>
      </c>
      <c r="J278" s="17">
        <v>900</v>
      </c>
      <c r="K278" s="2" t="s">
        <v>24</v>
      </c>
      <c r="L278" s="2" t="s">
        <v>25</v>
      </c>
      <c r="M278" s="2" t="s">
        <v>26</v>
      </c>
      <c r="N278" s="2" t="s">
        <v>26</v>
      </c>
      <c r="O278" s="2" t="s">
        <v>26</v>
      </c>
      <c r="P278" s="13">
        <v>100</v>
      </c>
      <c r="Q278" s="2" t="s">
        <v>35</v>
      </c>
      <c r="R278" s="2" t="s">
        <v>28</v>
      </c>
      <c r="S278" s="2" t="s">
        <v>892</v>
      </c>
      <c r="T278" s="22" t="s">
        <v>903</v>
      </c>
      <c r="U278" s="10">
        <v>0</v>
      </c>
      <c r="V278" s="52">
        <v>1</v>
      </c>
      <c r="W278" s="25"/>
      <c r="X278" s="66">
        <f t="shared" si="13"/>
        <v>900</v>
      </c>
      <c r="Z278" s="84">
        <f t="shared" si="14"/>
        <v>0</v>
      </c>
    </row>
    <row r="279" spans="1:27" ht="49.5" customHeight="1">
      <c r="A279" s="2">
        <v>278</v>
      </c>
      <c r="B279" s="2" t="s">
        <v>18</v>
      </c>
      <c r="C279" s="2" t="s">
        <v>79</v>
      </c>
      <c r="D279" s="2">
        <v>21</v>
      </c>
      <c r="E279" s="2" t="s">
        <v>31</v>
      </c>
      <c r="F279" s="2">
        <v>181</v>
      </c>
      <c r="G279" s="2" t="s">
        <v>904</v>
      </c>
      <c r="H279" s="22" t="s">
        <v>905</v>
      </c>
      <c r="I279" s="2" t="s">
        <v>906</v>
      </c>
      <c r="J279" s="17">
        <v>1100</v>
      </c>
      <c r="K279" s="2" t="s">
        <v>24</v>
      </c>
      <c r="L279" s="2" t="s">
        <v>25</v>
      </c>
      <c r="M279" s="2" t="s">
        <v>26</v>
      </c>
      <c r="N279" s="2" t="s">
        <v>26</v>
      </c>
      <c r="O279" s="2" t="s">
        <v>26</v>
      </c>
      <c r="P279" s="13">
        <v>60</v>
      </c>
      <c r="Q279" s="2" t="s">
        <v>35</v>
      </c>
      <c r="R279" s="2" t="s">
        <v>28</v>
      </c>
      <c r="S279" s="2" t="s">
        <v>892</v>
      </c>
      <c r="T279" s="22" t="s">
        <v>907</v>
      </c>
      <c r="U279" s="10">
        <v>0</v>
      </c>
      <c r="V279" s="52">
        <v>1</v>
      </c>
      <c r="W279" s="25"/>
      <c r="X279" s="66">
        <f t="shared" si="13"/>
        <v>1100</v>
      </c>
      <c r="Z279" s="84">
        <f t="shared" si="14"/>
        <v>0</v>
      </c>
    </row>
    <row r="280" spans="1:27" ht="49.5" customHeight="1">
      <c r="A280" s="2">
        <v>279</v>
      </c>
      <c r="B280" s="2" t="s">
        <v>18</v>
      </c>
      <c r="C280" s="2" t="s">
        <v>79</v>
      </c>
      <c r="D280" s="2">
        <v>21</v>
      </c>
      <c r="E280" s="2" t="s">
        <v>31</v>
      </c>
      <c r="F280" s="2">
        <v>180</v>
      </c>
      <c r="G280" s="2" t="s">
        <v>908</v>
      </c>
      <c r="H280" s="22" t="s">
        <v>909</v>
      </c>
      <c r="I280" s="2" t="s">
        <v>910</v>
      </c>
      <c r="J280" s="17">
        <v>800</v>
      </c>
      <c r="K280" s="2" t="s">
        <v>24</v>
      </c>
      <c r="L280" s="2" t="s">
        <v>176</v>
      </c>
      <c r="M280" s="2" t="s">
        <v>26</v>
      </c>
      <c r="N280" s="2" t="s">
        <v>26</v>
      </c>
      <c r="O280" s="2" t="s">
        <v>26</v>
      </c>
      <c r="P280" s="13">
        <v>60</v>
      </c>
      <c r="Q280" s="2" t="s">
        <v>35</v>
      </c>
      <c r="R280" s="2" t="s">
        <v>28</v>
      </c>
      <c r="S280" s="2" t="s">
        <v>892</v>
      </c>
      <c r="T280" s="22" t="s">
        <v>911</v>
      </c>
      <c r="U280" s="10">
        <v>0</v>
      </c>
      <c r="V280" s="52">
        <v>1</v>
      </c>
      <c r="W280" s="25"/>
      <c r="X280" s="66">
        <f t="shared" si="13"/>
        <v>800</v>
      </c>
      <c r="Z280" s="84">
        <f t="shared" si="14"/>
        <v>0</v>
      </c>
    </row>
    <row r="281" spans="1:27" ht="49.5" customHeight="1">
      <c r="A281" s="2">
        <v>280</v>
      </c>
      <c r="B281" s="2" t="s">
        <v>18</v>
      </c>
      <c r="C281" s="2" t="s">
        <v>79</v>
      </c>
      <c r="D281" s="2">
        <v>21</v>
      </c>
      <c r="E281" s="2" t="s">
        <v>31</v>
      </c>
      <c r="F281" s="2">
        <v>181</v>
      </c>
      <c r="G281" s="2" t="s">
        <v>904</v>
      </c>
      <c r="H281" s="22" t="s">
        <v>912</v>
      </c>
      <c r="I281" s="2" t="s">
        <v>913</v>
      </c>
      <c r="J281" s="17">
        <v>3000</v>
      </c>
      <c r="K281" s="2" t="s">
        <v>24</v>
      </c>
      <c r="L281" s="2" t="s">
        <v>25</v>
      </c>
      <c r="M281" s="2" t="s">
        <v>26</v>
      </c>
      <c r="N281" s="2" t="s">
        <v>26</v>
      </c>
      <c r="O281" s="2" t="s">
        <v>26</v>
      </c>
      <c r="P281" s="13">
        <v>120</v>
      </c>
      <c r="Q281" s="2" t="s">
        <v>35</v>
      </c>
      <c r="R281" s="2" t="s">
        <v>28</v>
      </c>
      <c r="S281" s="2" t="s">
        <v>892</v>
      </c>
      <c r="T281" s="2" t="s">
        <v>914</v>
      </c>
      <c r="U281" s="10">
        <v>0</v>
      </c>
      <c r="V281" s="52">
        <v>1</v>
      </c>
      <c r="W281" s="25"/>
      <c r="X281" s="66">
        <f t="shared" si="13"/>
        <v>3000</v>
      </c>
      <c r="Z281" s="84">
        <f t="shared" si="14"/>
        <v>0</v>
      </c>
    </row>
    <row r="282" spans="1:27" ht="49.5" customHeight="1">
      <c r="A282" s="2">
        <v>281</v>
      </c>
      <c r="B282" s="2" t="s">
        <v>18</v>
      </c>
      <c r="C282" s="2" t="s">
        <v>79</v>
      </c>
      <c r="D282" s="2">
        <v>21</v>
      </c>
      <c r="E282" s="2" t="s">
        <v>31</v>
      </c>
      <c r="F282" s="2">
        <v>181</v>
      </c>
      <c r="G282" s="2" t="s">
        <v>904</v>
      </c>
      <c r="H282" s="22" t="s">
        <v>915</v>
      </c>
      <c r="I282" s="2" t="s">
        <v>916</v>
      </c>
      <c r="J282" s="17">
        <v>500</v>
      </c>
      <c r="K282" s="2" t="s">
        <v>24</v>
      </c>
      <c r="L282" s="2" t="s">
        <v>82</v>
      </c>
      <c r="M282" s="2" t="s">
        <v>26</v>
      </c>
      <c r="N282" s="2" t="s">
        <v>26</v>
      </c>
      <c r="O282" s="2" t="s">
        <v>26</v>
      </c>
      <c r="P282" s="13">
        <v>60</v>
      </c>
      <c r="Q282" s="2" t="s">
        <v>35</v>
      </c>
      <c r="R282" s="2" t="s">
        <v>28</v>
      </c>
      <c r="S282" s="2" t="s">
        <v>884</v>
      </c>
      <c r="T282" s="2" t="s">
        <v>917</v>
      </c>
      <c r="U282" s="10">
        <v>0</v>
      </c>
      <c r="V282" s="52">
        <v>1</v>
      </c>
      <c r="W282" s="25"/>
      <c r="X282" s="66">
        <f t="shared" si="13"/>
        <v>500</v>
      </c>
      <c r="Z282" s="84">
        <f t="shared" si="14"/>
        <v>0</v>
      </c>
      <c r="AA282" s="25"/>
    </row>
    <row r="283" spans="1:27" ht="49.5" customHeight="1">
      <c r="A283" s="2">
        <v>282</v>
      </c>
      <c r="B283" s="2" t="s">
        <v>18</v>
      </c>
      <c r="C283" s="2" t="s">
        <v>79</v>
      </c>
      <c r="D283" s="2">
        <v>21</v>
      </c>
      <c r="E283" s="2" t="s">
        <v>31</v>
      </c>
      <c r="F283" s="2">
        <v>181</v>
      </c>
      <c r="G283" s="2" t="s">
        <v>904</v>
      </c>
      <c r="H283" s="22" t="s">
        <v>918</v>
      </c>
      <c r="I283" s="2" t="s">
        <v>919</v>
      </c>
      <c r="J283" s="17">
        <v>2550</v>
      </c>
      <c r="K283" s="2" t="s">
        <v>24</v>
      </c>
      <c r="L283" s="2" t="s">
        <v>176</v>
      </c>
      <c r="M283" s="2" t="s">
        <v>26</v>
      </c>
      <c r="N283" s="2" t="s">
        <v>26</v>
      </c>
      <c r="O283" s="2" t="s">
        <v>26</v>
      </c>
      <c r="P283" s="13">
        <v>60</v>
      </c>
      <c r="Q283" s="2" t="s">
        <v>35</v>
      </c>
      <c r="R283" s="2" t="s">
        <v>28</v>
      </c>
      <c r="S283" s="2" t="s">
        <v>862</v>
      </c>
      <c r="T283" s="22" t="s">
        <v>920</v>
      </c>
      <c r="U283" s="10">
        <v>0</v>
      </c>
      <c r="V283" s="52">
        <v>1</v>
      </c>
      <c r="W283" s="25"/>
      <c r="X283" s="66">
        <f t="shared" si="13"/>
        <v>2550</v>
      </c>
      <c r="Z283" s="84">
        <f t="shared" si="14"/>
        <v>0</v>
      </c>
    </row>
    <row r="284" spans="1:27" ht="49.5" customHeight="1">
      <c r="A284" s="2">
        <v>283</v>
      </c>
      <c r="B284" s="2" t="s">
        <v>18</v>
      </c>
      <c r="C284" s="2" t="s">
        <v>79</v>
      </c>
      <c r="D284" s="2">
        <v>21</v>
      </c>
      <c r="E284" s="2" t="s">
        <v>31</v>
      </c>
      <c r="F284" s="2">
        <v>187</v>
      </c>
      <c r="G284" s="2" t="s">
        <v>843</v>
      </c>
      <c r="H284" s="22" t="s">
        <v>921</v>
      </c>
      <c r="I284" s="2">
        <v>2049</v>
      </c>
      <c r="J284" s="17">
        <v>900</v>
      </c>
      <c r="K284" s="2" t="s">
        <v>24</v>
      </c>
      <c r="L284" s="2" t="s">
        <v>176</v>
      </c>
      <c r="M284" s="2" t="s">
        <v>26</v>
      </c>
      <c r="N284" s="2" t="s">
        <v>26</v>
      </c>
      <c r="O284" s="2" t="s">
        <v>26</v>
      </c>
      <c r="P284" s="13">
        <v>60</v>
      </c>
      <c r="Q284" s="2" t="s">
        <v>35</v>
      </c>
      <c r="R284" s="2" t="s">
        <v>28</v>
      </c>
      <c r="S284" s="2" t="s">
        <v>853</v>
      </c>
      <c r="T284" s="22" t="s">
        <v>922</v>
      </c>
      <c r="U284" s="10">
        <v>0</v>
      </c>
      <c r="V284" s="52">
        <v>1</v>
      </c>
      <c r="W284" s="25"/>
      <c r="X284" s="66">
        <f t="shared" si="13"/>
        <v>900</v>
      </c>
      <c r="Z284" s="84">
        <f t="shared" si="14"/>
        <v>0</v>
      </c>
    </row>
    <row r="285" spans="1:27" ht="49.5" customHeight="1">
      <c r="A285" s="2">
        <v>284</v>
      </c>
      <c r="B285" s="2" t="s">
        <v>18</v>
      </c>
      <c r="C285" s="2" t="s">
        <v>79</v>
      </c>
      <c r="D285" s="2">
        <v>21</v>
      </c>
      <c r="E285" s="2" t="s">
        <v>31</v>
      </c>
      <c r="F285" s="2">
        <v>187</v>
      </c>
      <c r="G285" s="2" t="s">
        <v>843</v>
      </c>
      <c r="H285" s="22" t="s">
        <v>923</v>
      </c>
      <c r="I285" s="2" t="s">
        <v>924</v>
      </c>
      <c r="J285" s="17">
        <v>800</v>
      </c>
      <c r="K285" s="2" t="s">
        <v>24</v>
      </c>
      <c r="L285" s="2" t="s">
        <v>25</v>
      </c>
      <c r="M285" s="2" t="s">
        <v>26</v>
      </c>
      <c r="N285" s="2" t="s">
        <v>26</v>
      </c>
      <c r="O285" s="2" t="s">
        <v>26</v>
      </c>
      <c r="P285" s="13">
        <v>60</v>
      </c>
      <c r="Q285" s="2" t="s">
        <v>35</v>
      </c>
      <c r="R285" s="2" t="s">
        <v>28</v>
      </c>
      <c r="S285" s="2" t="s">
        <v>853</v>
      </c>
      <c r="T285" s="22" t="s">
        <v>925</v>
      </c>
      <c r="U285" s="10">
        <v>0</v>
      </c>
      <c r="V285" s="52">
        <v>1</v>
      </c>
      <c r="W285" s="25"/>
      <c r="X285" s="66">
        <f t="shared" si="13"/>
        <v>800</v>
      </c>
      <c r="Z285" s="84">
        <f t="shared" si="14"/>
        <v>0</v>
      </c>
    </row>
    <row r="286" spans="1:27" ht="49.5" customHeight="1">
      <c r="A286" s="2">
        <v>285</v>
      </c>
      <c r="B286" s="2" t="s">
        <v>18</v>
      </c>
      <c r="C286" s="2" t="s">
        <v>79</v>
      </c>
      <c r="D286" s="2">
        <v>21</v>
      </c>
      <c r="E286" s="2" t="s">
        <v>31</v>
      </c>
      <c r="F286" s="2">
        <v>187</v>
      </c>
      <c r="G286" s="2" t="s">
        <v>843</v>
      </c>
      <c r="H286" s="22" t="s">
        <v>926</v>
      </c>
      <c r="I286" s="2" t="s">
        <v>927</v>
      </c>
      <c r="J286" s="17">
        <v>800</v>
      </c>
      <c r="K286" s="2" t="s">
        <v>24</v>
      </c>
      <c r="L286" s="2" t="s">
        <v>25</v>
      </c>
      <c r="M286" s="2" t="s">
        <v>26</v>
      </c>
      <c r="N286" s="2" t="s">
        <v>26</v>
      </c>
      <c r="O286" s="2" t="s">
        <v>26</v>
      </c>
      <c r="P286" s="13">
        <v>70</v>
      </c>
      <c r="Q286" s="2" t="s">
        <v>35</v>
      </c>
      <c r="R286" s="2" t="s">
        <v>28</v>
      </c>
      <c r="S286" s="2" t="s">
        <v>853</v>
      </c>
      <c r="T286" s="22" t="s">
        <v>928</v>
      </c>
      <c r="U286" s="10">
        <v>0</v>
      </c>
      <c r="V286" s="52">
        <v>1</v>
      </c>
      <c r="W286" s="25"/>
      <c r="X286" s="66">
        <f t="shared" si="13"/>
        <v>800</v>
      </c>
      <c r="Z286" s="84">
        <f t="shared" si="14"/>
        <v>0</v>
      </c>
    </row>
    <row r="287" spans="1:27" ht="49.5" customHeight="1">
      <c r="A287" s="2">
        <v>286</v>
      </c>
      <c r="B287" s="2" t="s">
        <v>18</v>
      </c>
      <c r="C287" s="2" t="s">
        <v>79</v>
      </c>
      <c r="D287" s="2">
        <v>21</v>
      </c>
      <c r="E287" s="2" t="s">
        <v>31</v>
      </c>
      <c r="F287" s="2">
        <v>187</v>
      </c>
      <c r="G287" s="2" t="s">
        <v>843</v>
      </c>
      <c r="H287" s="22" t="s">
        <v>929</v>
      </c>
      <c r="I287" s="2" t="s">
        <v>845</v>
      </c>
      <c r="J287" s="17">
        <v>1850</v>
      </c>
      <c r="K287" s="2" t="s">
        <v>24</v>
      </c>
      <c r="L287" s="2" t="s">
        <v>25</v>
      </c>
      <c r="M287" s="2" t="s">
        <v>26</v>
      </c>
      <c r="N287" s="2" t="s">
        <v>26</v>
      </c>
      <c r="O287" s="2" t="s">
        <v>26</v>
      </c>
      <c r="P287" s="13">
        <v>60</v>
      </c>
      <c r="Q287" s="2" t="s">
        <v>35</v>
      </c>
      <c r="R287" s="2" t="s">
        <v>28</v>
      </c>
      <c r="S287" s="2" t="s">
        <v>853</v>
      </c>
      <c r="T287" s="2" t="s">
        <v>930</v>
      </c>
      <c r="U287" s="10">
        <v>1</v>
      </c>
      <c r="V287" s="52">
        <v>0</v>
      </c>
      <c r="W287" s="25"/>
      <c r="X287" s="66">
        <f t="shared" si="13"/>
        <v>0</v>
      </c>
      <c r="Z287" s="84">
        <f t="shared" si="14"/>
        <v>1850</v>
      </c>
    </row>
    <row r="288" spans="1:27" ht="49.5" customHeight="1">
      <c r="A288" s="2">
        <v>287</v>
      </c>
      <c r="B288" s="2" t="s">
        <v>18</v>
      </c>
      <c r="C288" s="2" t="s">
        <v>79</v>
      </c>
      <c r="D288" s="2">
        <v>30</v>
      </c>
      <c r="E288" s="2" t="s">
        <v>739</v>
      </c>
      <c r="F288" s="2">
        <v>216</v>
      </c>
      <c r="G288" s="2" t="s">
        <v>767</v>
      </c>
      <c r="H288" s="22" t="s">
        <v>931</v>
      </c>
      <c r="I288" s="2" t="s">
        <v>932</v>
      </c>
      <c r="J288" s="17">
        <v>900</v>
      </c>
      <c r="K288" s="2" t="s">
        <v>24</v>
      </c>
      <c r="L288" s="2" t="s">
        <v>82</v>
      </c>
      <c r="M288" s="2" t="s">
        <v>26</v>
      </c>
      <c r="N288" s="2" t="s">
        <v>26</v>
      </c>
      <c r="O288" s="2" t="s">
        <v>26</v>
      </c>
      <c r="P288" s="13">
        <v>60</v>
      </c>
      <c r="Q288" s="2" t="s">
        <v>35</v>
      </c>
      <c r="R288" s="2" t="s">
        <v>28</v>
      </c>
      <c r="S288" s="2" t="s">
        <v>892</v>
      </c>
      <c r="T288" s="22" t="s">
        <v>933</v>
      </c>
      <c r="U288" s="10">
        <v>0</v>
      </c>
      <c r="V288" s="52">
        <v>1</v>
      </c>
      <c r="W288" s="25"/>
      <c r="X288" s="66">
        <f t="shared" si="13"/>
        <v>900</v>
      </c>
      <c r="Z288" s="84">
        <f t="shared" si="14"/>
        <v>0</v>
      </c>
    </row>
    <row r="289" spans="1:28" ht="49.5" customHeight="1">
      <c r="A289" s="2">
        <v>288</v>
      </c>
      <c r="B289" s="2" t="s">
        <v>347</v>
      </c>
      <c r="C289" s="2" t="s">
        <v>79</v>
      </c>
      <c r="D289" s="2">
        <v>21</v>
      </c>
      <c r="E289" s="2" t="s">
        <v>31</v>
      </c>
      <c r="F289" s="2">
        <v>6</v>
      </c>
      <c r="G289" s="2" t="s">
        <v>32</v>
      </c>
      <c r="H289" s="2" t="s">
        <v>934</v>
      </c>
      <c r="I289" s="2" t="s">
        <v>935</v>
      </c>
      <c r="J289" s="17">
        <v>40000</v>
      </c>
      <c r="K289" s="2" t="s">
        <v>89</v>
      </c>
      <c r="L289" s="2" t="s">
        <v>176</v>
      </c>
      <c r="M289" s="2" t="s">
        <v>26</v>
      </c>
      <c r="N289" s="2" t="s">
        <v>26</v>
      </c>
      <c r="O289" s="2" t="s">
        <v>215</v>
      </c>
      <c r="P289" s="13">
        <v>108</v>
      </c>
      <c r="Q289" s="2" t="s">
        <v>35</v>
      </c>
      <c r="R289" s="2" t="s">
        <v>350</v>
      </c>
      <c r="S289" s="2" t="s">
        <v>936</v>
      </c>
      <c r="T289" s="2" t="s">
        <v>937</v>
      </c>
      <c r="U289" s="10">
        <v>0</v>
      </c>
      <c r="V289" s="52">
        <v>1</v>
      </c>
      <c r="W289" s="25"/>
      <c r="X289" s="66">
        <f t="shared" si="13"/>
        <v>40000</v>
      </c>
      <c r="Z289" s="84">
        <f t="shared" si="14"/>
        <v>0</v>
      </c>
    </row>
    <row r="290" spans="1:28" ht="49.5" customHeight="1">
      <c r="A290" s="2">
        <v>289</v>
      </c>
      <c r="B290" s="125" t="s">
        <v>1311</v>
      </c>
      <c r="C290" s="2" t="s">
        <v>79</v>
      </c>
      <c r="D290" s="2">
        <v>21</v>
      </c>
      <c r="E290" s="2" t="s">
        <v>31</v>
      </c>
      <c r="F290" s="2">
        <v>174</v>
      </c>
      <c r="G290" s="2" t="s">
        <v>367</v>
      </c>
      <c r="H290" s="2" t="s">
        <v>938</v>
      </c>
      <c r="I290" s="2" t="s">
        <v>939</v>
      </c>
      <c r="J290" s="17">
        <v>1800</v>
      </c>
      <c r="K290" s="2" t="s">
        <v>24</v>
      </c>
      <c r="L290" s="2" t="s">
        <v>25</v>
      </c>
      <c r="M290" s="2" t="s">
        <v>215</v>
      </c>
      <c r="N290" s="2" t="s">
        <v>26</v>
      </c>
      <c r="O290" s="2" t="s">
        <v>26</v>
      </c>
      <c r="P290" s="13">
        <v>20</v>
      </c>
      <c r="Q290" s="2" t="s">
        <v>1305</v>
      </c>
      <c r="R290" s="2" t="s">
        <v>1307</v>
      </c>
      <c r="S290" s="133" t="s">
        <v>1308</v>
      </c>
      <c r="T290" s="2" t="s">
        <v>1302</v>
      </c>
      <c r="U290" s="10">
        <v>0</v>
      </c>
      <c r="V290" s="52">
        <v>1</v>
      </c>
      <c r="W290" s="25"/>
      <c r="X290" s="66">
        <f t="shared" si="13"/>
        <v>1800</v>
      </c>
      <c r="Z290" s="84">
        <f t="shared" si="14"/>
        <v>0</v>
      </c>
    </row>
    <row r="291" spans="1:28" ht="49.5" customHeight="1">
      <c r="A291" s="2">
        <v>290</v>
      </c>
      <c r="B291" s="125" t="s">
        <v>1311</v>
      </c>
      <c r="C291" s="2" t="s">
        <v>79</v>
      </c>
      <c r="D291" s="2">
        <v>21</v>
      </c>
      <c r="E291" s="2" t="s">
        <v>31</v>
      </c>
      <c r="F291" s="2">
        <v>176</v>
      </c>
      <c r="G291" s="2" t="s">
        <v>400</v>
      </c>
      <c r="H291" s="2" t="s">
        <v>940</v>
      </c>
      <c r="I291" s="2" t="s">
        <v>941</v>
      </c>
      <c r="J291" s="17">
        <v>350</v>
      </c>
      <c r="K291" s="2" t="s">
        <v>24</v>
      </c>
      <c r="L291" s="2" t="s">
        <v>25</v>
      </c>
      <c r="M291" s="2" t="s">
        <v>215</v>
      </c>
      <c r="N291" s="2" t="s">
        <v>26</v>
      </c>
      <c r="O291" s="2" t="s">
        <v>26</v>
      </c>
      <c r="P291" s="13">
        <v>20</v>
      </c>
      <c r="Q291" s="2" t="s">
        <v>1306</v>
      </c>
      <c r="R291" s="2" t="s">
        <v>1307</v>
      </c>
      <c r="S291" s="134"/>
      <c r="T291" s="2" t="s">
        <v>1303</v>
      </c>
      <c r="U291" s="10">
        <v>0</v>
      </c>
      <c r="V291" s="52">
        <v>1</v>
      </c>
      <c r="W291" s="25"/>
      <c r="X291" s="66">
        <f t="shared" si="13"/>
        <v>350</v>
      </c>
      <c r="Z291" s="84">
        <f t="shared" si="14"/>
        <v>0</v>
      </c>
    </row>
    <row r="292" spans="1:28" ht="49.5" customHeight="1">
      <c r="A292" s="2">
        <v>291</v>
      </c>
      <c r="B292" s="125" t="s">
        <v>1311</v>
      </c>
      <c r="C292" s="2" t="s">
        <v>79</v>
      </c>
      <c r="D292" s="2">
        <v>21</v>
      </c>
      <c r="E292" s="2" t="s">
        <v>31</v>
      </c>
      <c r="F292" s="2">
        <v>176</v>
      </c>
      <c r="G292" s="2" t="s">
        <v>400</v>
      </c>
      <c r="H292" s="2" t="s">
        <v>940</v>
      </c>
      <c r="I292" s="2" t="s">
        <v>942</v>
      </c>
      <c r="J292" s="17">
        <v>350</v>
      </c>
      <c r="K292" s="2" t="s">
        <v>24</v>
      </c>
      <c r="L292" s="2" t="s">
        <v>25</v>
      </c>
      <c r="M292" s="2" t="s">
        <v>215</v>
      </c>
      <c r="N292" s="2" t="s">
        <v>26</v>
      </c>
      <c r="O292" s="2" t="s">
        <v>26</v>
      </c>
      <c r="P292" s="13">
        <v>20</v>
      </c>
      <c r="Q292" s="2" t="s">
        <v>1306</v>
      </c>
      <c r="R292" s="2" t="s">
        <v>1307</v>
      </c>
      <c r="S292" s="134"/>
      <c r="T292" s="2" t="s">
        <v>1304</v>
      </c>
      <c r="U292" s="10">
        <v>0</v>
      </c>
      <c r="V292" s="52">
        <v>1</v>
      </c>
      <c r="W292" s="25"/>
      <c r="X292" s="66">
        <f t="shared" si="13"/>
        <v>350</v>
      </c>
      <c r="Z292" s="84">
        <f t="shared" si="14"/>
        <v>0</v>
      </c>
    </row>
    <row r="293" spans="1:28" ht="49.5" customHeight="1" thickBot="1">
      <c r="A293" s="2">
        <v>292</v>
      </c>
      <c r="B293" s="125" t="s">
        <v>1311</v>
      </c>
      <c r="C293" s="2" t="s">
        <v>79</v>
      </c>
      <c r="D293" s="2">
        <v>30</v>
      </c>
      <c r="E293" s="2" t="s">
        <v>739</v>
      </c>
      <c r="F293" s="2">
        <v>216</v>
      </c>
      <c r="G293" s="2" t="s">
        <v>767</v>
      </c>
      <c r="H293" s="2" t="s">
        <v>943</v>
      </c>
      <c r="I293" s="2" t="s">
        <v>944</v>
      </c>
      <c r="J293" s="17">
        <v>700</v>
      </c>
      <c r="K293" s="2" t="s">
        <v>24</v>
      </c>
      <c r="L293" s="2" t="s">
        <v>176</v>
      </c>
      <c r="M293" s="2" t="s">
        <v>215</v>
      </c>
      <c r="N293" s="2" t="s">
        <v>26</v>
      </c>
      <c r="O293" s="2" t="s">
        <v>26</v>
      </c>
      <c r="P293" s="13">
        <v>20</v>
      </c>
      <c r="Q293" s="2" t="s">
        <v>1306</v>
      </c>
      <c r="R293" s="2" t="s">
        <v>1307</v>
      </c>
      <c r="S293" s="134"/>
      <c r="T293" s="2" t="s">
        <v>945</v>
      </c>
      <c r="U293" s="10">
        <v>0</v>
      </c>
      <c r="V293" s="52">
        <v>1</v>
      </c>
      <c r="W293" s="25"/>
      <c r="X293" s="66">
        <f t="shared" si="13"/>
        <v>700</v>
      </c>
      <c r="Z293" s="84">
        <f t="shared" si="14"/>
        <v>0</v>
      </c>
    </row>
    <row r="294" spans="1:28" ht="49.5" customHeight="1" thickBot="1">
      <c r="A294" s="2">
        <v>293</v>
      </c>
      <c r="B294" s="125" t="s">
        <v>1311</v>
      </c>
      <c r="C294" s="2" t="s">
        <v>79</v>
      </c>
      <c r="D294" s="2">
        <v>30</v>
      </c>
      <c r="E294" s="2" t="s">
        <v>739</v>
      </c>
      <c r="F294" s="2">
        <v>216</v>
      </c>
      <c r="G294" s="2" t="s">
        <v>767</v>
      </c>
      <c r="H294" s="2" t="s">
        <v>943</v>
      </c>
      <c r="I294" s="2">
        <v>188</v>
      </c>
      <c r="J294" s="17">
        <v>304</v>
      </c>
      <c r="K294" s="2" t="s">
        <v>24</v>
      </c>
      <c r="L294" s="2" t="s">
        <v>176</v>
      </c>
      <c r="M294" s="2" t="s">
        <v>215</v>
      </c>
      <c r="N294" s="2" t="s">
        <v>26</v>
      </c>
      <c r="O294" s="2" t="s">
        <v>26</v>
      </c>
      <c r="P294" s="13">
        <v>20</v>
      </c>
      <c r="Q294" s="2" t="s">
        <v>1306</v>
      </c>
      <c r="R294" s="2" t="s">
        <v>1307</v>
      </c>
      <c r="S294" s="135"/>
      <c r="T294" s="2" t="s">
        <v>945</v>
      </c>
      <c r="U294" s="10">
        <v>0</v>
      </c>
      <c r="V294" s="52">
        <v>1</v>
      </c>
      <c r="W294" s="121"/>
      <c r="X294" s="124">
        <f t="shared" si="13"/>
        <v>304</v>
      </c>
      <c r="Z294" s="87">
        <f t="shared" si="14"/>
        <v>0</v>
      </c>
      <c r="AA294" s="119">
        <f>SUM(Z260:Z294)</f>
        <v>3550</v>
      </c>
      <c r="AB294" s="93">
        <f>SUM(J260:J294)</f>
        <v>81804</v>
      </c>
    </row>
    <row r="295" spans="1:28" ht="49.5" customHeight="1">
      <c r="A295" s="2">
        <v>294</v>
      </c>
      <c r="B295" s="55" t="s">
        <v>18</v>
      </c>
      <c r="C295" s="55" t="s">
        <v>86</v>
      </c>
      <c r="D295" s="55">
        <v>30</v>
      </c>
      <c r="E295" s="55" t="s">
        <v>739</v>
      </c>
      <c r="F295" s="55">
        <v>182</v>
      </c>
      <c r="G295" s="55" t="s">
        <v>947</v>
      </c>
      <c r="H295" s="55" t="s">
        <v>948</v>
      </c>
      <c r="I295" s="55" t="s">
        <v>949</v>
      </c>
      <c r="J295" s="55">
        <v>1300</v>
      </c>
      <c r="K295" s="55" t="s">
        <v>24</v>
      </c>
      <c r="L295" s="55" t="s">
        <v>82</v>
      </c>
      <c r="M295" s="55" t="s">
        <v>26</v>
      </c>
      <c r="N295" s="55" t="s">
        <v>26</v>
      </c>
      <c r="O295" s="55" t="s">
        <v>26</v>
      </c>
      <c r="P295" s="57"/>
      <c r="Q295" s="55" t="s">
        <v>163</v>
      </c>
      <c r="R295" s="55" t="s">
        <v>293</v>
      </c>
      <c r="S295" s="68"/>
      <c r="T295" s="55" t="s">
        <v>948</v>
      </c>
      <c r="U295" s="59">
        <v>1</v>
      </c>
      <c r="V295" s="60">
        <v>0</v>
      </c>
      <c r="W295" s="25"/>
      <c r="X295" s="66">
        <f t="shared" si="13"/>
        <v>0</v>
      </c>
      <c r="Y295" s="66"/>
      <c r="Z295" s="84">
        <f t="shared" si="14"/>
        <v>1300</v>
      </c>
    </row>
    <row r="296" spans="1:28" ht="49.5" customHeight="1">
      <c r="A296" s="2">
        <v>295</v>
      </c>
      <c r="B296" s="105" t="s">
        <v>18</v>
      </c>
      <c r="C296" s="105" t="s">
        <v>86</v>
      </c>
      <c r="D296" s="105">
        <v>30</v>
      </c>
      <c r="E296" s="105" t="s">
        <v>739</v>
      </c>
      <c r="F296" s="105">
        <v>182</v>
      </c>
      <c r="G296" s="105" t="s">
        <v>947</v>
      </c>
      <c r="H296" s="105" t="s">
        <v>947</v>
      </c>
      <c r="I296" s="105" t="s">
        <v>950</v>
      </c>
      <c r="J296" s="105">
        <v>3000</v>
      </c>
      <c r="K296" s="105" t="s">
        <v>24</v>
      </c>
      <c r="L296" s="105" t="s">
        <v>82</v>
      </c>
      <c r="M296" s="105" t="s">
        <v>26</v>
      </c>
      <c r="N296" s="105" t="s">
        <v>26</v>
      </c>
      <c r="O296" s="105" t="s">
        <v>26</v>
      </c>
      <c r="P296" s="106"/>
      <c r="Q296" s="105" t="s">
        <v>163</v>
      </c>
      <c r="R296" s="105" t="s">
        <v>293</v>
      </c>
      <c r="S296" s="111"/>
      <c r="T296" s="105" t="s">
        <v>947</v>
      </c>
      <c r="U296" s="108">
        <v>1</v>
      </c>
      <c r="V296" s="109">
        <v>0</v>
      </c>
      <c r="W296" s="25"/>
      <c r="X296" s="66">
        <f t="shared" si="13"/>
        <v>0</v>
      </c>
      <c r="Z296" s="84">
        <f t="shared" si="14"/>
        <v>3000</v>
      </c>
    </row>
    <row r="297" spans="1:28" ht="49.5" customHeight="1">
      <c r="A297" s="2">
        <v>296</v>
      </c>
      <c r="B297" s="2" t="s">
        <v>18</v>
      </c>
      <c r="C297" s="2" t="s">
        <v>86</v>
      </c>
      <c r="D297" s="2">
        <v>33</v>
      </c>
      <c r="E297" s="2" t="s">
        <v>405</v>
      </c>
      <c r="F297" s="2">
        <v>236</v>
      </c>
      <c r="G297" s="2" t="s">
        <v>406</v>
      </c>
      <c r="H297" s="2" t="s">
        <v>951</v>
      </c>
      <c r="I297" s="2" t="s">
        <v>952</v>
      </c>
      <c r="J297" s="2">
        <v>4376</v>
      </c>
      <c r="K297" s="2" t="s">
        <v>24</v>
      </c>
      <c r="L297" s="2" t="s">
        <v>82</v>
      </c>
      <c r="M297" s="2" t="s">
        <v>26</v>
      </c>
      <c r="N297" s="2" t="s">
        <v>26</v>
      </c>
      <c r="O297" s="2" t="s">
        <v>26</v>
      </c>
      <c r="P297" s="13"/>
      <c r="Q297" s="2" t="s">
        <v>163</v>
      </c>
      <c r="R297" s="2" t="s">
        <v>293</v>
      </c>
      <c r="S297" s="16"/>
      <c r="T297" s="2" t="s">
        <v>951</v>
      </c>
      <c r="U297" s="10">
        <v>1</v>
      </c>
      <c r="V297" s="52">
        <v>0</v>
      </c>
      <c r="W297" s="25"/>
      <c r="X297" s="66">
        <f t="shared" si="13"/>
        <v>0</v>
      </c>
      <c r="Z297" s="84">
        <f t="shared" si="14"/>
        <v>4376</v>
      </c>
    </row>
    <row r="298" spans="1:28" ht="49.5" customHeight="1">
      <c r="A298" s="2">
        <v>297</v>
      </c>
      <c r="B298" s="2" t="s">
        <v>18</v>
      </c>
      <c r="C298" s="2" t="s">
        <v>86</v>
      </c>
      <c r="D298" s="2">
        <v>33</v>
      </c>
      <c r="E298" s="2" t="s">
        <v>405</v>
      </c>
      <c r="F298" s="2">
        <v>233</v>
      </c>
      <c r="G298" s="2" t="s">
        <v>294</v>
      </c>
      <c r="H298" s="2" t="s">
        <v>953</v>
      </c>
      <c r="I298" s="2" t="s">
        <v>954</v>
      </c>
      <c r="J298" s="2">
        <v>15000</v>
      </c>
      <c r="K298" s="2" t="s">
        <v>24</v>
      </c>
      <c r="L298" s="2" t="s">
        <v>176</v>
      </c>
      <c r="M298" s="2" t="s">
        <v>26</v>
      </c>
      <c r="N298" s="2" t="s">
        <v>26</v>
      </c>
      <c r="O298" s="2" t="s">
        <v>26</v>
      </c>
      <c r="P298" s="13">
        <v>150</v>
      </c>
      <c r="Q298" s="2" t="s">
        <v>35</v>
      </c>
      <c r="R298" s="2" t="s">
        <v>293</v>
      </c>
      <c r="S298" s="2" t="s">
        <v>955</v>
      </c>
      <c r="T298" s="2" t="s">
        <v>956</v>
      </c>
      <c r="U298" s="10">
        <v>0.1</v>
      </c>
      <c r="V298" s="52">
        <v>0.9</v>
      </c>
      <c r="W298" s="25"/>
      <c r="X298" s="66">
        <f t="shared" si="13"/>
        <v>13500</v>
      </c>
      <c r="Z298" s="84">
        <f t="shared" si="14"/>
        <v>1500</v>
      </c>
    </row>
    <row r="299" spans="1:28" ht="49.5" customHeight="1">
      <c r="A299" s="2">
        <v>298</v>
      </c>
      <c r="B299" s="2" t="s">
        <v>18</v>
      </c>
      <c r="C299" s="2" t="s">
        <v>86</v>
      </c>
      <c r="D299" s="2">
        <v>33</v>
      </c>
      <c r="E299" s="2" t="s">
        <v>405</v>
      </c>
      <c r="F299" s="2">
        <v>240</v>
      </c>
      <c r="G299" s="2" t="s">
        <v>957</v>
      </c>
      <c r="H299" s="2" t="s">
        <v>958</v>
      </c>
      <c r="I299" s="2" t="s">
        <v>959</v>
      </c>
      <c r="J299" s="2">
        <v>500</v>
      </c>
      <c r="K299" s="2" t="s">
        <v>24</v>
      </c>
      <c r="L299" s="2" t="s">
        <v>25</v>
      </c>
      <c r="M299" s="2" t="s">
        <v>26</v>
      </c>
      <c r="N299" s="2" t="s">
        <v>26</v>
      </c>
      <c r="O299" s="2" t="s">
        <v>26</v>
      </c>
      <c r="P299" s="13">
        <v>150</v>
      </c>
      <c r="Q299" s="2" t="s">
        <v>35</v>
      </c>
      <c r="R299" s="2" t="s">
        <v>293</v>
      </c>
      <c r="S299" s="2" t="s">
        <v>960</v>
      </c>
      <c r="T299" s="2" t="s">
        <v>961</v>
      </c>
      <c r="U299" s="10">
        <v>0.75</v>
      </c>
      <c r="V299" s="52">
        <v>0.25</v>
      </c>
      <c r="W299" s="25"/>
      <c r="X299" s="66">
        <f t="shared" si="13"/>
        <v>125</v>
      </c>
      <c r="Z299" s="84">
        <f t="shared" si="14"/>
        <v>375</v>
      </c>
    </row>
    <row r="300" spans="1:28" ht="49.5" customHeight="1">
      <c r="A300" s="2">
        <v>299</v>
      </c>
      <c r="B300" s="2" t="s">
        <v>18</v>
      </c>
      <c r="C300" s="2" t="s">
        <v>86</v>
      </c>
      <c r="D300" s="2">
        <v>33</v>
      </c>
      <c r="E300" s="2" t="s">
        <v>405</v>
      </c>
      <c r="F300" s="2">
        <v>241</v>
      </c>
      <c r="G300" s="2" t="s">
        <v>962</v>
      </c>
      <c r="H300" s="2" t="s">
        <v>963</v>
      </c>
      <c r="I300" s="2" t="s">
        <v>964</v>
      </c>
      <c r="J300" s="2">
        <v>2000</v>
      </c>
      <c r="K300" s="2" t="s">
        <v>24</v>
      </c>
      <c r="L300" s="2" t="s">
        <v>25</v>
      </c>
      <c r="M300" s="2" t="s">
        <v>26</v>
      </c>
      <c r="N300" s="2" t="s">
        <v>26</v>
      </c>
      <c r="O300" s="2" t="s">
        <v>26</v>
      </c>
      <c r="P300" s="13">
        <v>100</v>
      </c>
      <c r="Q300" s="2" t="s">
        <v>35</v>
      </c>
      <c r="R300" s="2" t="s">
        <v>293</v>
      </c>
      <c r="S300" s="2" t="s">
        <v>960</v>
      </c>
      <c r="T300" s="2" t="s">
        <v>963</v>
      </c>
      <c r="U300" s="10">
        <v>0.75</v>
      </c>
      <c r="V300" s="52">
        <v>0.25</v>
      </c>
      <c r="W300" s="25"/>
      <c r="X300" s="66">
        <f t="shared" si="13"/>
        <v>500</v>
      </c>
      <c r="Z300" s="84">
        <f t="shared" si="14"/>
        <v>1500</v>
      </c>
    </row>
    <row r="301" spans="1:28" s="12" customFormat="1" ht="49.5" customHeight="1">
      <c r="A301" s="2">
        <v>300</v>
      </c>
      <c r="B301" s="2" t="s">
        <v>18</v>
      </c>
      <c r="C301" s="2" t="s">
        <v>86</v>
      </c>
      <c r="D301" s="2">
        <v>33</v>
      </c>
      <c r="E301" s="2" t="s">
        <v>405</v>
      </c>
      <c r="F301" s="2">
        <v>241</v>
      </c>
      <c r="G301" s="2" t="s">
        <v>294</v>
      </c>
      <c r="H301" s="2" t="s">
        <v>1205</v>
      </c>
      <c r="I301" s="2"/>
      <c r="J301" s="2">
        <v>2464</v>
      </c>
      <c r="K301" s="2" t="s">
        <v>24</v>
      </c>
      <c r="L301" s="2" t="s">
        <v>82</v>
      </c>
      <c r="M301" s="2" t="s">
        <v>26</v>
      </c>
      <c r="N301" s="2" t="s">
        <v>26</v>
      </c>
      <c r="O301" s="2" t="s">
        <v>26</v>
      </c>
      <c r="P301" s="13"/>
      <c r="Q301" s="2" t="s">
        <v>163</v>
      </c>
      <c r="R301" s="2"/>
      <c r="S301" s="2"/>
      <c r="T301" s="2"/>
      <c r="U301" s="10">
        <v>1</v>
      </c>
      <c r="V301" s="52">
        <v>0</v>
      </c>
      <c r="W301" s="25"/>
      <c r="X301" s="66">
        <f t="shared" si="13"/>
        <v>0</v>
      </c>
      <c r="Y301" s="25"/>
      <c r="Z301" s="84">
        <f t="shared" si="14"/>
        <v>2464</v>
      </c>
      <c r="AA301" s="24"/>
    </row>
    <row r="302" spans="1:28" s="12" customFormat="1" ht="49.5" customHeight="1">
      <c r="A302" s="2">
        <v>301</v>
      </c>
      <c r="B302" s="2" t="s">
        <v>347</v>
      </c>
      <c r="C302" s="2" t="s">
        <v>86</v>
      </c>
      <c r="D302" s="2">
        <v>33</v>
      </c>
      <c r="E302" s="2" t="s">
        <v>405</v>
      </c>
      <c r="F302" s="2">
        <v>240</v>
      </c>
      <c r="G302" s="2" t="s">
        <v>957</v>
      </c>
      <c r="H302" s="2" t="s">
        <v>965</v>
      </c>
      <c r="I302" s="2">
        <v>65</v>
      </c>
      <c r="J302" s="2">
        <v>4000</v>
      </c>
      <c r="K302" s="2" t="s">
        <v>966</v>
      </c>
      <c r="L302" s="2" t="s">
        <v>25</v>
      </c>
      <c r="M302" s="2" t="s">
        <v>215</v>
      </c>
      <c r="N302" s="2" t="s">
        <v>215</v>
      </c>
      <c r="O302" s="2" t="s">
        <v>215</v>
      </c>
      <c r="P302" s="2" t="s">
        <v>967</v>
      </c>
      <c r="Q302" s="2" t="s">
        <v>35</v>
      </c>
      <c r="R302" s="2" t="s">
        <v>968</v>
      </c>
      <c r="S302" s="20" t="s">
        <v>969</v>
      </c>
      <c r="T302" s="2" t="s">
        <v>970</v>
      </c>
      <c r="U302" s="10">
        <v>0</v>
      </c>
      <c r="V302" s="52">
        <v>1</v>
      </c>
      <c r="W302" s="25"/>
      <c r="X302" s="66">
        <f t="shared" si="13"/>
        <v>4000</v>
      </c>
      <c r="Y302" s="25"/>
      <c r="Z302" s="84">
        <f t="shared" si="14"/>
        <v>0</v>
      </c>
      <c r="AA302" s="24"/>
    </row>
    <row r="303" spans="1:28" s="12" customFormat="1" ht="49.5" customHeight="1">
      <c r="A303" s="2">
        <v>302</v>
      </c>
      <c r="B303" s="2" t="s">
        <v>1310</v>
      </c>
      <c r="C303" s="2" t="s">
        <v>86</v>
      </c>
      <c r="D303" s="2">
        <v>33</v>
      </c>
      <c r="E303" s="2" t="s">
        <v>405</v>
      </c>
      <c r="F303" s="2">
        <v>233</v>
      </c>
      <c r="G303" s="2" t="s">
        <v>294</v>
      </c>
      <c r="H303" s="2" t="s">
        <v>971</v>
      </c>
      <c r="I303" s="88" t="s">
        <v>972</v>
      </c>
      <c r="J303" s="23">
        <v>2300</v>
      </c>
      <c r="K303" s="2" t="s">
        <v>24</v>
      </c>
      <c r="L303" s="2" t="s">
        <v>25</v>
      </c>
      <c r="M303" s="2" t="s">
        <v>26</v>
      </c>
      <c r="N303" s="2" t="s">
        <v>26</v>
      </c>
      <c r="O303" s="2" t="s">
        <v>26</v>
      </c>
      <c r="P303" s="13">
        <v>20</v>
      </c>
      <c r="Q303" s="2" t="s">
        <v>973</v>
      </c>
      <c r="R303" s="2" t="s">
        <v>974</v>
      </c>
      <c r="S303" s="2" t="s">
        <v>975</v>
      </c>
      <c r="T303" s="2" t="s">
        <v>976</v>
      </c>
      <c r="U303" s="10">
        <v>0</v>
      </c>
      <c r="V303" s="52">
        <v>1</v>
      </c>
      <c r="W303" s="25"/>
      <c r="X303" s="66">
        <f t="shared" si="13"/>
        <v>2300</v>
      </c>
      <c r="Y303" s="25"/>
      <c r="Z303" s="84">
        <f t="shared" si="14"/>
        <v>0</v>
      </c>
      <c r="AA303" s="24"/>
    </row>
    <row r="304" spans="1:28" s="12" customFormat="1" ht="49.5" customHeight="1">
      <c r="A304" s="2">
        <v>303</v>
      </c>
      <c r="B304" s="2" t="s">
        <v>1310</v>
      </c>
      <c r="C304" s="2" t="s">
        <v>86</v>
      </c>
      <c r="D304" s="2">
        <v>33</v>
      </c>
      <c r="E304" s="2" t="s">
        <v>405</v>
      </c>
      <c r="F304" s="2">
        <v>236</v>
      </c>
      <c r="G304" s="2" t="s">
        <v>406</v>
      </c>
      <c r="H304" s="2" t="s">
        <v>977</v>
      </c>
      <c r="I304" s="88" t="s">
        <v>978</v>
      </c>
      <c r="J304" s="23">
        <v>900</v>
      </c>
      <c r="K304" s="2" t="s">
        <v>24</v>
      </c>
      <c r="L304" s="2" t="s">
        <v>25</v>
      </c>
      <c r="M304" s="2" t="s">
        <v>26</v>
      </c>
      <c r="N304" s="2" t="s">
        <v>26</v>
      </c>
      <c r="O304" s="2" t="s">
        <v>26</v>
      </c>
      <c r="P304" s="13">
        <v>20</v>
      </c>
      <c r="Q304" s="2" t="s">
        <v>35</v>
      </c>
      <c r="R304" s="2" t="s">
        <v>979</v>
      </c>
      <c r="S304" s="2" t="s">
        <v>980</v>
      </c>
      <c r="T304" s="2" t="s">
        <v>981</v>
      </c>
      <c r="U304" s="10">
        <v>0</v>
      </c>
      <c r="V304" s="52">
        <v>1</v>
      </c>
      <c r="W304" s="25"/>
      <c r="X304" s="66">
        <f t="shared" si="13"/>
        <v>900</v>
      </c>
      <c r="Y304" s="25"/>
      <c r="Z304" s="84">
        <f t="shared" ref="Z304:Z334" si="15">J304-X304</f>
        <v>0</v>
      </c>
      <c r="AA304" s="24"/>
    </row>
    <row r="305" spans="1:28" s="12" customFormat="1" ht="49.5" customHeight="1" thickBot="1">
      <c r="A305" s="2">
        <v>304</v>
      </c>
      <c r="B305" s="2" t="s">
        <v>1310</v>
      </c>
      <c r="C305" s="2" t="s">
        <v>86</v>
      </c>
      <c r="D305" s="2">
        <v>33</v>
      </c>
      <c r="E305" s="2" t="s">
        <v>405</v>
      </c>
      <c r="F305" s="2">
        <v>241</v>
      </c>
      <c r="G305" s="2" t="s">
        <v>962</v>
      </c>
      <c r="H305" s="2" t="s">
        <v>982</v>
      </c>
      <c r="I305" s="88" t="s">
        <v>983</v>
      </c>
      <c r="J305" s="23">
        <v>500</v>
      </c>
      <c r="K305" s="2" t="s">
        <v>24</v>
      </c>
      <c r="L305" s="2" t="s">
        <v>25</v>
      </c>
      <c r="M305" s="2" t="s">
        <v>26</v>
      </c>
      <c r="N305" s="2" t="s">
        <v>26</v>
      </c>
      <c r="O305" s="2" t="s">
        <v>26</v>
      </c>
      <c r="P305" s="13">
        <v>20</v>
      </c>
      <c r="Q305" s="2" t="s">
        <v>35</v>
      </c>
      <c r="R305" s="2" t="s">
        <v>979</v>
      </c>
      <c r="S305" s="2" t="s">
        <v>984</v>
      </c>
      <c r="T305" s="2" t="s">
        <v>985</v>
      </c>
      <c r="U305" s="10">
        <v>0</v>
      </c>
      <c r="V305" s="52">
        <v>1</v>
      </c>
      <c r="W305" s="25"/>
      <c r="X305" s="66">
        <f t="shared" ref="X305:X347" si="16">V305*J305</f>
        <v>500</v>
      </c>
      <c r="Y305" s="25"/>
      <c r="Z305" s="84">
        <f t="shared" si="15"/>
        <v>0</v>
      </c>
      <c r="AA305" s="24"/>
    </row>
    <row r="306" spans="1:28" s="12" customFormat="1" ht="49.5" customHeight="1" thickBot="1">
      <c r="A306" s="2">
        <v>305</v>
      </c>
      <c r="B306" s="53" t="s">
        <v>1310</v>
      </c>
      <c r="C306" s="53" t="s">
        <v>86</v>
      </c>
      <c r="D306" s="53">
        <v>33</v>
      </c>
      <c r="E306" s="53" t="s">
        <v>405</v>
      </c>
      <c r="F306" s="53">
        <v>241</v>
      </c>
      <c r="G306" s="53" t="s">
        <v>962</v>
      </c>
      <c r="H306" s="53" t="s">
        <v>986</v>
      </c>
      <c r="I306" s="89" t="s">
        <v>987</v>
      </c>
      <c r="J306" s="90">
        <v>700</v>
      </c>
      <c r="K306" s="53" t="s">
        <v>24</v>
      </c>
      <c r="L306" s="53" t="s">
        <v>25</v>
      </c>
      <c r="M306" s="53" t="s">
        <v>26</v>
      </c>
      <c r="N306" s="53" t="s">
        <v>26</v>
      </c>
      <c r="O306" s="53" t="s">
        <v>26</v>
      </c>
      <c r="P306" s="86">
        <v>20</v>
      </c>
      <c r="Q306" s="53" t="s">
        <v>35</v>
      </c>
      <c r="R306" s="53" t="s">
        <v>979</v>
      </c>
      <c r="S306" s="53" t="s">
        <v>988</v>
      </c>
      <c r="T306" s="53" t="s">
        <v>989</v>
      </c>
      <c r="U306" s="63">
        <v>0</v>
      </c>
      <c r="V306" s="64">
        <v>1</v>
      </c>
      <c r="W306" s="54"/>
      <c r="X306" s="67">
        <f t="shared" si="16"/>
        <v>700</v>
      </c>
      <c r="Y306" s="84"/>
      <c r="Z306" s="87">
        <f t="shared" si="15"/>
        <v>0</v>
      </c>
      <c r="AA306" s="119">
        <f>SUM(Z295:Z306)</f>
        <v>14515</v>
      </c>
      <c r="AB306" s="122">
        <f>SUM(J295:J306)</f>
        <v>37040</v>
      </c>
    </row>
    <row r="307" spans="1:28" s="12" customFormat="1" ht="49.5" customHeight="1">
      <c r="A307" s="2">
        <v>306</v>
      </c>
      <c r="B307" s="105" t="s">
        <v>18</v>
      </c>
      <c r="C307" s="105" t="s">
        <v>91</v>
      </c>
      <c r="D307" s="105">
        <v>16</v>
      </c>
      <c r="E307" s="105" t="s">
        <v>183</v>
      </c>
      <c r="F307" s="105">
        <v>155</v>
      </c>
      <c r="G307" s="105" t="s">
        <v>850</v>
      </c>
      <c r="H307" s="105" t="s">
        <v>990</v>
      </c>
      <c r="I307" s="105" t="s">
        <v>991</v>
      </c>
      <c r="J307" s="105">
        <v>7392</v>
      </c>
      <c r="K307" s="105" t="s">
        <v>24</v>
      </c>
      <c r="L307" s="105" t="s">
        <v>82</v>
      </c>
      <c r="M307" s="105" t="s">
        <v>26</v>
      </c>
      <c r="N307" s="105" t="s">
        <v>26</v>
      </c>
      <c r="O307" s="105" t="s">
        <v>26</v>
      </c>
      <c r="P307" s="106"/>
      <c r="Q307" s="105" t="s">
        <v>992</v>
      </c>
      <c r="R307" s="105" t="s">
        <v>177</v>
      </c>
      <c r="S307" s="107" t="s">
        <v>254</v>
      </c>
      <c r="T307" s="105" t="s">
        <v>1282</v>
      </c>
      <c r="U307" s="108">
        <v>1</v>
      </c>
      <c r="V307" s="109">
        <v>0</v>
      </c>
      <c r="W307" s="25"/>
      <c r="X307" s="66">
        <f t="shared" si="16"/>
        <v>0</v>
      </c>
      <c r="Y307" s="84"/>
      <c r="Z307" s="84">
        <f t="shared" si="15"/>
        <v>7392</v>
      </c>
      <c r="AA307" s="24"/>
    </row>
    <row r="308" spans="1:28" s="12" customFormat="1" ht="49.5" customHeight="1">
      <c r="A308" s="2">
        <v>307</v>
      </c>
      <c r="B308" s="105" t="s">
        <v>18</v>
      </c>
      <c r="C308" s="105" t="s">
        <v>91</v>
      </c>
      <c r="D308" s="105">
        <v>16</v>
      </c>
      <c r="E308" s="105" t="s">
        <v>183</v>
      </c>
      <c r="F308" s="105">
        <v>155</v>
      </c>
      <c r="G308" s="105" t="s">
        <v>850</v>
      </c>
      <c r="H308" s="105" t="s">
        <v>990</v>
      </c>
      <c r="I308" s="105" t="s">
        <v>993</v>
      </c>
      <c r="J308" s="105">
        <v>86</v>
      </c>
      <c r="K308" s="105" t="s">
        <v>24</v>
      </c>
      <c r="L308" s="105" t="s">
        <v>82</v>
      </c>
      <c r="M308" s="105" t="s">
        <v>26</v>
      </c>
      <c r="N308" s="105" t="s">
        <v>26</v>
      </c>
      <c r="O308" s="105" t="s">
        <v>26</v>
      </c>
      <c r="P308" s="106"/>
      <c r="Q308" s="105" t="s">
        <v>992</v>
      </c>
      <c r="R308" s="105" t="s">
        <v>177</v>
      </c>
      <c r="S308" s="107" t="s">
        <v>254</v>
      </c>
      <c r="T308" s="105" t="s">
        <v>1282</v>
      </c>
      <c r="U308" s="108">
        <v>1</v>
      </c>
      <c r="V308" s="109">
        <v>0</v>
      </c>
      <c r="W308" s="25"/>
      <c r="X308" s="66">
        <f t="shared" si="16"/>
        <v>0</v>
      </c>
      <c r="Y308" s="25"/>
      <c r="Z308" s="84">
        <f t="shared" si="15"/>
        <v>86</v>
      </c>
      <c r="AA308" s="24"/>
    </row>
    <row r="309" spans="1:28" ht="49.5" customHeight="1">
      <c r="A309" s="2">
        <v>308</v>
      </c>
      <c r="B309" s="2" t="s">
        <v>18</v>
      </c>
      <c r="C309" s="2" t="s">
        <v>91</v>
      </c>
      <c r="D309" s="2">
        <v>16</v>
      </c>
      <c r="E309" s="2" t="s">
        <v>183</v>
      </c>
      <c r="F309" s="2">
        <v>155</v>
      </c>
      <c r="G309" s="2" t="s">
        <v>850</v>
      </c>
      <c r="H309" s="2" t="s">
        <v>990</v>
      </c>
      <c r="I309" s="2" t="s">
        <v>994</v>
      </c>
      <c r="J309" s="2">
        <v>37</v>
      </c>
      <c r="K309" s="2" t="s">
        <v>24</v>
      </c>
      <c r="L309" s="2" t="s">
        <v>82</v>
      </c>
      <c r="M309" s="2" t="s">
        <v>26</v>
      </c>
      <c r="N309" s="2" t="s">
        <v>26</v>
      </c>
      <c r="O309" s="2" t="s">
        <v>26</v>
      </c>
      <c r="P309" s="13"/>
      <c r="Q309" s="2" t="s">
        <v>992</v>
      </c>
      <c r="R309" s="2" t="s">
        <v>177</v>
      </c>
      <c r="S309" s="72" t="s">
        <v>254</v>
      </c>
      <c r="T309" s="2" t="s">
        <v>1282</v>
      </c>
      <c r="U309" s="10">
        <v>1</v>
      </c>
      <c r="V309" s="52">
        <v>0</v>
      </c>
      <c r="W309" s="25"/>
      <c r="X309" s="66">
        <f t="shared" si="16"/>
        <v>0</v>
      </c>
      <c r="Z309" s="84">
        <f t="shared" si="15"/>
        <v>37</v>
      </c>
    </row>
    <row r="310" spans="1:28" ht="49.5" customHeight="1">
      <c r="A310" s="2">
        <v>309</v>
      </c>
      <c r="B310" s="2" t="s">
        <v>18</v>
      </c>
      <c r="C310" s="2" t="s">
        <v>91</v>
      </c>
      <c r="D310" s="2">
        <v>16</v>
      </c>
      <c r="E310" s="2" t="s">
        <v>183</v>
      </c>
      <c r="F310" s="2">
        <v>155</v>
      </c>
      <c r="G310" s="2" t="s">
        <v>850</v>
      </c>
      <c r="H310" s="2" t="s">
        <v>990</v>
      </c>
      <c r="I310" s="2" t="s">
        <v>995</v>
      </c>
      <c r="J310" s="2">
        <v>160</v>
      </c>
      <c r="K310" s="2" t="s">
        <v>24</v>
      </c>
      <c r="L310" s="2" t="s">
        <v>82</v>
      </c>
      <c r="M310" s="2" t="s">
        <v>26</v>
      </c>
      <c r="N310" s="2" t="s">
        <v>26</v>
      </c>
      <c r="O310" s="2" t="s">
        <v>26</v>
      </c>
      <c r="P310" s="13"/>
      <c r="Q310" s="2" t="s">
        <v>992</v>
      </c>
      <c r="R310" s="2" t="s">
        <v>177</v>
      </c>
      <c r="S310" s="72" t="s">
        <v>254</v>
      </c>
      <c r="T310" s="2" t="s">
        <v>1282</v>
      </c>
      <c r="U310" s="10">
        <v>1</v>
      </c>
      <c r="V310" s="52">
        <v>0</v>
      </c>
      <c r="W310" s="25"/>
      <c r="X310" s="66">
        <f t="shared" si="16"/>
        <v>0</v>
      </c>
      <c r="Z310" s="84">
        <f t="shared" si="15"/>
        <v>160</v>
      </c>
    </row>
    <row r="311" spans="1:28" s="12" customFormat="1" ht="49.5" customHeight="1">
      <c r="A311" s="2">
        <v>310</v>
      </c>
      <c r="B311" s="2" t="s">
        <v>18</v>
      </c>
      <c r="C311" s="2" t="s">
        <v>91</v>
      </c>
      <c r="D311" s="2">
        <v>16</v>
      </c>
      <c r="E311" s="2" t="s">
        <v>183</v>
      </c>
      <c r="F311" s="2">
        <v>155</v>
      </c>
      <c r="G311" s="2" t="s">
        <v>850</v>
      </c>
      <c r="H311" s="2" t="s">
        <v>996</v>
      </c>
      <c r="I311" s="2" t="s">
        <v>997</v>
      </c>
      <c r="J311" s="2">
        <v>345</v>
      </c>
      <c r="K311" s="2" t="s">
        <v>24</v>
      </c>
      <c r="L311" s="2" t="s">
        <v>82</v>
      </c>
      <c r="M311" s="2" t="s">
        <v>26</v>
      </c>
      <c r="N311" s="2" t="s">
        <v>26</v>
      </c>
      <c r="O311" s="2" t="s">
        <v>26</v>
      </c>
      <c r="P311" s="13"/>
      <c r="Q311" s="2" t="s">
        <v>992</v>
      </c>
      <c r="R311" s="2" t="s">
        <v>177</v>
      </c>
      <c r="S311" s="72" t="s">
        <v>254</v>
      </c>
      <c r="T311" s="2" t="s">
        <v>1283</v>
      </c>
      <c r="U311" s="10">
        <v>1</v>
      </c>
      <c r="V311" s="52">
        <v>0</v>
      </c>
      <c r="W311" s="25"/>
      <c r="X311" s="66">
        <f t="shared" si="16"/>
        <v>0</v>
      </c>
      <c r="Y311" s="25"/>
      <c r="Z311" s="84">
        <f t="shared" si="15"/>
        <v>345</v>
      </c>
      <c r="AA311" s="24"/>
    </row>
    <row r="312" spans="1:28" s="12" customFormat="1" ht="49.5" customHeight="1">
      <c r="A312" s="2">
        <v>311</v>
      </c>
      <c r="B312" s="2" t="s">
        <v>18</v>
      </c>
      <c r="C312" s="2" t="s">
        <v>91</v>
      </c>
      <c r="D312" s="2">
        <v>16</v>
      </c>
      <c r="E312" s="2" t="s">
        <v>183</v>
      </c>
      <c r="F312" s="2">
        <v>148</v>
      </c>
      <c r="G312" s="2" t="s">
        <v>998</v>
      </c>
      <c r="H312" s="2" t="s">
        <v>999</v>
      </c>
      <c r="I312" s="2" t="s">
        <v>1000</v>
      </c>
      <c r="J312" s="2">
        <v>1981</v>
      </c>
      <c r="K312" s="2" t="s">
        <v>24</v>
      </c>
      <c r="L312" s="2" t="s">
        <v>82</v>
      </c>
      <c r="M312" s="2" t="s">
        <v>26</v>
      </c>
      <c r="N312" s="2" t="s">
        <v>26</v>
      </c>
      <c r="O312" s="2" t="s">
        <v>26</v>
      </c>
      <c r="P312" s="13"/>
      <c r="Q312" s="2" t="s">
        <v>35</v>
      </c>
      <c r="R312" s="2" t="s">
        <v>177</v>
      </c>
      <c r="S312" s="72" t="s">
        <v>226</v>
      </c>
      <c r="T312" s="2" t="s">
        <v>1284</v>
      </c>
      <c r="U312" s="10">
        <v>0</v>
      </c>
      <c r="V312" s="52">
        <v>1</v>
      </c>
      <c r="W312" s="25"/>
      <c r="X312" s="66">
        <f t="shared" si="16"/>
        <v>1981</v>
      </c>
      <c r="Y312" s="25"/>
      <c r="Z312" s="84">
        <f t="shared" si="15"/>
        <v>0</v>
      </c>
      <c r="AA312" s="25"/>
    </row>
    <row r="313" spans="1:28" s="12" customFormat="1" ht="49.5" customHeight="1">
      <c r="A313" s="2">
        <v>312</v>
      </c>
      <c r="B313" s="2" t="s">
        <v>18</v>
      </c>
      <c r="C313" s="2" t="s">
        <v>91</v>
      </c>
      <c r="D313" s="2">
        <v>16</v>
      </c>
      <c r="E313" s="2" t="s">
        <v>183</v>
      </c>
      <c r="F313" s="2">
        <v>148</v>
      </c>
      <c r="G313" s="2" t="s">
        <v>1001</v>
      </c>
      <c r="H313" s="14" t="s">
        <v>1002</v>
      </c>
      <c r="I313" s="2" t="s">
        <v>1003</v>
      </c>
      <c r="J313" s="2">
        <v>2000</v>
      </c>
      <c r="K313" s="2" t="s">
        <v>24</v>
      </c>
      <c r="L313" s="2" t="s">
        <v>176</v>
      </c>
      <c r="M313" s="2" t="s">
        <v>26</v>
      </c>
      <c r="N313" s="2" t="s">
        <v>26</v>
      </c>
      <c r="O313" s="2" t="s">
        <v>26</v>
      </c>
      <c r="P313" s="13">
        <v>90</v>
      </c>
      <c r="Q313" s="2" t="s">
        <v>35</v>
      </c>
      <c r="R313" s="2" t="s">
        <v>177</v>
      </c>
      <c r="S313" s="16" t="s">
        <v>254</v>
      </c>
      <c r="T313" s="2" t="s">
        <v>1004</v>
      </c>
      <c r="U313" s="10">
        <v>0</v>
      </c>
      <c r="V313" s="52">
        <v>1</v>
      </c>
      <c r="W313" s="25"/>
      <c r="X313" s="66">
        <f t="shared" si="16"/>
        <v>2000</v>
      </c>
      <c r="Y313" s="25"/>
      <c r="Z313" s="84">
        <f t="shared" si="15"/>
        <v>0</v>
      </c>
      <c r="AA313" s="25"/>
    </row>
    <row r="314" spans="1:28" s="12" customFormat="1" ht="49.5" customHeight="1">
      <c r="A314" s="2">
        <v>313</v>
      </c>
      <c r="B314" s="2" t="s">
        <v>18</v>
      </c>
      <c r="C314" s="2" t="s">
        <v>91</v>
      </c>
      <c r="D314" s="2">
        <v>16</v>
      </c>
      <c r="E314" s="2" t="s">
        <v>183</v>
      </c>
      <c r="F314" s="2">
        <v>148</v>
      </c>
      <c r="G314" s="2" t="s">
        <v>1001</v>
      </c>
      <c r="H314" s="14" t="s">
        <v>1005</v>
      </c>
      <c r="I314" s="2" t="s">
        <v>1006</v>
      </c>
      <c r="J314" s="2">
        <v>800</v>
      </c>
      <c r="K314" s="2" t="s">
        <v>89</v>
      </c>
      <c r="L314" s="2" t="s">
        <v>176</v>
      </c>
      <c r="M314" s="2" t="s">
        <v>26</v>
      </c>
      <c r="N314" s="2" t="s">
        <v>26</v>
      </c>
      <c r="O314" s="2" t="s">
        <v>26</v>
      </c>
      <c r="P314" s="13">
        <v>80</v>
      </c>
      <c r="Q314" s="2" t="s">
        <v>35</v>
      </c>
      <c r="R314" s="2" t="s">
        <v>177</v>
      </c>
      <c r="S314" s="16" t="s">
        <v>254</v>
      </c>
      <c r="T314" s="2" t="s">
        <v>1007</v>
      </c>
      <c r="U314" s="10">
        <v>0</v>
      </c>
      <c r="V314" s="52">
        <v>1</v>
      </c>
      <c r="W314" s="25"/>
      <c r="X314" s="66">
        <f t="shared" si="16"/>
        <v>800</v>
      </c>
      <c r="Y314" s="25"/>
      <c r="Z314" s="84">
        <f t="shared" si="15"/>
        <v>0</v>
      </c>
      <c r="AA314" s="25"/>
    </row>
    <row r="315" spans="1:28" s="12" customFormat="1" ht="49.5" customHeight="1">
      <c r="A315" s="2">
        <v>314</v>
      </c>
      <c r="B315" s="2" t="s">
        <v>18</v>
      </c>
      <c r="C315" s="2" t="s">
        <v>91</v>
      </c>
      <c r="D315" s="2">
        <v>16</v>
      </c>
      <c r="E315" s="2" t="s">
        <v>183</v>
      </c>
      <c r="F315" s="2">
        <v>148</v>
      </c>
      <c r="G315" s="2" t="s">
        <v>1001</v>
      </c>
      <c r="H315" s="14" t="s">
        <v>1008</v>
      </c>
      <c r="I315" s="2" t="s">
        <v>1009</v>
      </c>
      <c r="J315" s="2">
        <v>1200</v>
      </c>
      <c r="K315" s="2" t="s">
        <v>24</v>
      </c>
      <c r="L315" s="2" t="s">
        <v>25</v>
      </c>
      <c r="M315" s="2" t="s">
        <v>26</v>
      </c>
      <c r="N315" s="2" t="s">
        <v>26</v>
      </c>
      <c r="O315" s="2" t="s">
        <v>26</v>
      </c>
      <c r="P315" s="13">
        <v>120</v>
      </c>
      <c r="Q315" s="2" t="s">
        <v>35</v>
      </c>
      <c r="R315" s="2" t="s">
        <v>177</v>
      </c>
      <c r="S315" s="16" t="s">
        <v>254</v>
      </c>
      <c r="T315" s="2" t="s">
        <v>1010</v>
      </c>
      <c r="U315" s="10">
        <v>0</v>
      </c>
      <c r="V315" s="52">
        <v>1</v>
      </c>
      <c r="W315" s="25"/>
      <c r="X315" s="66">
        <f t="shared" si="16"/>
        <v>1200</v>
      </c>
      <c r="Y315" s="25"/>
      <c r="Z315" s="84">
        <f t="shared" si="15"/>
        <v>0</v>
      </c>
      <c r="AA315" s="25"/>
    </row>
    <row r="316" spans="1:28" s="12" customFormat="1" ht="49.5" customHeight="1">
      <c r="A316" s="2">
        <v>315</v>
      </c>
      <c r="B316" s="2" t="s">
        <v>18</v>
      </c>
      <c r="C316" s="2" t="s">
        <v>91</v>
      </c>
      <c r="D316" s="2">
        <v>18</v>
      </c>
      <c r="E316" s="2" t="s">
        <v>20</v>
      </c>
      <c r="F316" s="2">
        <v>150</v>
      </c>
      <c r="G316" s="2" t="s">
        <v>1011</v>
      </c>
      <c r="H316" s="14" t="s">
        <v>1012</v>
      </c>
      <c r="I316" s="2" t="s">
        <v>1013</v>
      </c>
      <c r="J316" s="2">
        <v>1500</v>
      </c>
      <c r="K316" s="2" t="s">
        <v>24</v>
      </c>
      <c r="L316" s="2" t="s">
        <v>176</v>
      </c>
      <c r="M316" s="2" t="s">
        <v>26</v>
      </c>
      <c r="N316" s="2" t="s">
        <v>26</v>
      </c>
      <c r="O316" s="2" t="s">
        <v>26</v>
      </c>
      <c r="P316" s="13">
        <v>80</v>
      </c>
      <c r="Q316" s="2" t="s">
        <v>35</v>
      </c>
      <c r="R316" s="2" t="s">
        <v>177</v>
      </c>
      <c r="S316" s="16" t="s">
        <v>254</v>
      </c>
      <c r="T316" s="2" t="s">
        <v>1014</v>
      </c>
      <c r="U316" s="10">
        <v>0</v>
      </c>
      <c r="V316" s="52">
        <v>1</v>
      </c>
      <c r="W316" s="25"/>
      <c r="X316" s="66">
        <f t="shared" si="16"/>
        <v>1500</v>
      </c>
      <c r="Y316" s="25"/>
      <c r="Z316" s="84">
        <f t="shared" si="15"/>
        <v>0</v>
      </c>
      <c r="AA316" s="25"/>
    </row>
    <row r="317" spans="1:28" s="12" customFormat="1" ht="49.5" customHeight="1">
      <c r="A317" s="2">
        <v>316</v>
      </c>
      <c r="B317" s="2" t="s">
        <v>18</v>
      </c>
      <c r="C317" s="2" t="s">
        <v>91</v>
      </c>
      <c r="D317" s="2">
        <v>18</v>
      </c>
      <c r="E317" s="2" t="s">
        <v>20</v>
      </c>
      <c r="F317" s="2">
        <v>150</v>
      </c>
      <c r="G317" s="2" t="s">
        <v>1011</v>
      </c>
      <c r="H317" s="14" t="s">
        <v>1015</v>
      </c>
      <c r="I317" s="2" t="s">
        <v>1016</v>
      </c>
      <c r="J317" s="2">
        <v>630</v>
      </c>
      <c r="K317" s="2" t="s">
        <v>24</v>
      </c>
      <c r="L317" s="2" t="s">
        <v>25</v>
      </c>
      <c r="M317" s="2" t="s">
        <v>26</v>
      </c>
      <c r="N317" s="2" t="s">
        <v>26</v>
      </c>
      <c r="O317" s="2" t="s">
        <v>26</v>
      </c>
      <c r="P317" s="13">
        <v>80</v>
      </c>
      <c r="Q317" s="2" t="s">
        <v>35</v>
      </c>
      <c r="R317" s="2" t="s">
        <v>177</v>
      </c>
      <c r="S317" s="16" t="s">
        <v>254</v>
      </c>
      <c r="T317" s="2" t="s">
        <v>1017</v>
      </c>
      <c r="U317" s="10">
        <v>0</v>
      </c>
      <c r="V317" s="52">
        <v>1</v>
      </c>
      <c r="W317" s="25"/>
      <c r="X317" s="66">
        <f t="shared" si="16"/>
        <v>630</v>
      </c>
      <c r="Y317" s="25"/>
      <c r="Z317" s="84">
        <f t="shared" si="15"/>
        <v>0</v>
      </c>
      <c r="AA317" s="25"/>
    </row>
    <row r="318" spans="1:28" s="12" customFormat="1" ht="49.5" customHeight="1">
      <c r="A318" s="2">
        <v>317</v>
      </c>
      <c r="B318" s="2" t="s">
        <v>18</v>
      </c>
      <c r="C318" s="2" t="s">
        <v>91</v>
      </c>
      <c r="D318" s="2">
        <v>18</v>
      </c>
      <c r="E318" s="2" t="s">
        <v>20</v>
      </c>
      <c r="F318" s="2">
        <v>154</v>
      </c>
      <c r="G318" s="2" t="s">
        <v>1018</v>
      </c>
      <c r="H318" s="14" t="s">
        <v>1019</v>
      </c>
      <c r="I318" s="2" t="s">
        <v>1020</v>
      </c>
      <c r="J318" s="2">
        <v>800</v>
      </c>
      <c r="K318" s="2" t="s">
        <v>89</v>
      </c>
      <c r="L318" s="2" t="s">
        <v>176</v>
      </c>
      <c r="M318" s="2" t="s">
        <v>26</v>
      </c>
      <c r="N318" s="2" t="s">
        <v>26</v>
      </c>
      <c r="O318" s="2" t="s">
        <v>26</v>
      </c>
      <c r="P318" s="13">
        <v>80</v>
      </c>
      <c r="Q318" s="2" t="s">
        <v>35</v>
      </c>
      <c r="R318" s="2" t="s">
        <v>177</v>
      </c>
      <c r="S318" s="16" t="s">
        <v>254</v>
      </c>
      <c r="T318" s="2" t="s">
        <v>1021</v>
      </c>
      <c r="U318" s="10">
        <v>0</v>
      </c>
      <c r="V318" s="52">
        <v>1</v>
      </c>
      <c r="W318" s="25"/>
      <c r="X318" s="66">
        <f t="shared" si="16"/>
        <v>800</v>
      </c>
      <c r="Y318" s="25"/>
      <c r="Z318" s="84">
        <f t="shared" si="15"/>
        <v>0</v>
      </c>
      <c r="AA318" s="25"/>
    </row>
    <row r="319" spans="1:28" s="12" customFormat="1" ht="49.5" customHeight="1">
      <c r="A319" s="2">
        <v>318</v>
      </c>
      <c r="B319" s="2" t="s">
        <v>18</v>
      </c>
      <c r="C319" s="2" t="s">
        <v>91</v>
      </c>
      <c r="D319" s="2">
        <v>18</v>
      </c>
      <c r="E319" s="2" t="s">
        <v>20</v>
      </c>
      <c r="F319" s="2">
        <v>155</v>
      </c>
      <c r="G319" s="2" t="s">
        <v>850</v>
      </c>
      <c r="H319" s="14" t="s">
        <v>1022</v>
      </c>
      <c r="I319" s="2" t="s">
        <v>1023</v>
      </c>
      <c r="J319" s="2">
        <v>1300</v>
      </c>
      <c r="K319" s="2" t="s">
        <v>24</v>
      </c>
      <c r="L319" s="2" t="s">
        <v>25</v>
      </c>
      <c r="M319" s="2" t="s">
        <v>26</v>
      </c>
      <c r="N319" s="2" t="s">
        <v>26</v>
      </c>
      <c r="O319" s="2" t="s">
        <v>26</v>
      </c>
      <c r="P319" s="13">
        <v>110</v>
      </c>
      <c r="Q319" s="2" t="s">
        <v>35</v>
      </c>
      <c r="R319" s="2" t="s">
        <v>177</v>
      </c>
      <c r="S319" s="16" t="s">
        <v>254</v>
      </c>
      <c r="T319" s="2" t="s">
        <v>1024</v>
      </c>
      <c r="U319" s="10">
        <v>0</v>
      </c>
      <c r="V319" s="52">
        <v>1</v>
      </c>
      <c r="W319" s="25"/>
      <c r="X319" s="66">
        <f t="shared" si="16"/>
        <v>1300</v>
      </c>
      <c r="Y319" s="25"/>
      <c r="Z319" s="84">
        <f t="shared" si="15"/>
        <v>0</v>
      </c>
      <c r="AA319" s="25"/>
    </row>
    <row r="320" spans="1:28" s="12" customFormat="1" ht="49.5" customHeight="1">
      <c r="A320" s="2">
        <v>319</v>
      </c>
      <c r="B320" s="2" t="s">
        <v>18</v>
      </c>
      <c r="C320" s="2" t="s">
        <v>91</v>
      </c>
      <c r="D320" s="2">
        <v>18</v>
      </c>
      <c r="E320" s="2" t="s">
        <v>20</v>
      </c>
      <c r="F320" s="2">
        <v>155</v>
      </c>
      <c r="G320" s="2" t="s">
        <v>850</v>
      </c>
      <c r="H320" s="14" t="s">
        <v>1025</v>
      </c>
      <c r="I320" s="2" t="s">
        <v>1026</v>
      </c>
      <c r="J320" s="2">
        <v>1400</v>
      </c>
      <c r="K320" s="2" t="s">
        <v>24</v>
      </c>
      <c r="L320" s="2" t="s">
        <v>25</v>
      </c>
      <c r="M320" s="2" t="s">
        <v>26</v>
      </c>
      <c r="N320" s="2" t="s">
        <v>26</v>
      </c>
      <c r="O320" s="2" t="s">
        <v>26</v>
      </c>
      <c r="P320" s="13">
        <v>120</v>
      </c>
      <c r="Q320" s="2" t="s">
        <v>35</v>
      </c>
      <c r="R320" s="2" t="s">
        <v>177</v>
      </c>
      <c r="S320" s="16" t="s">
        <v>254</v>
      </c>
      <c r="T320" s="2" t="s">
        <v>1027</v>
      </c>
      <c r="U320" s="10">
        <v>0</v>
      </c>
      <c r="V320" s="52">
        <v>1</v>
      </c>
      <c r="W320" s="25"/>
      <c r="X320" s="66">
        <f t="shared" si="16"/>
        <v>1400</v>
      </c>
      <c r="Y320" s="25"/>
      <c r="Z320" s="84">
        <f t="shared" si="15"/>
        <v>0</v>
      </c>
      <c r="AA320" s="24"/>
    </row>
    <row r="321" spans="1:28" s="12" customFormat="1" ht="49.5" customHeight="1">
      <c r="A321" s="2">
        <v>320</v>
      </c>
      <c r="B321" s="2" t="s">
        <v>18</v>
      </c>
      <c r="C321" s="2" t="s">
        <v>91</v>
      </c>
      <c r="D321" s="2">
        <v>18</v>
      </c>
      <c r="E321" s="2" t="s">
        <v>20</v>
      </c>
      <c r="F321" s="2">
        <v>155</v>
      </c>
      <c r="G321" s="2" t="s">
        <v>850</v>
      </c>
      <c r="H321" s="14" t="s">
        <v>1028</v>
      </c>
      <c r="I321" s="2" t="s">
        <v>1029</v>
      </c>
      <c r="J321" s="2">
        <v>400</v>
      </c>
      <c r="K321" s="2" t="s">
        <v>89</v>
      </c>
      <c r="L321" s="2" t="s">
        <v>176</v>
      </c>
      <c r="M321" s="2" t="s">
        <v>26</v>
      </c>
      <c r="N321" s="2" t="s">
        <v>26</v>
      </c>
      <c r="O321" s="2" t="s">
        <v>26</v>
      </c>
      <c r="P321" s="13">
        <v>90</v>
      </c>
      <c r="Q321" s="2" t="s">
        <v>35</v>
      </c>
      <c r="R321" s="2" t="s">
        <v>177</v>
      </c>
      <c r="S321" s="16" t="s">
        <v>254</v>
      </c>
      <c r="T321" s="2" t="s">
        <v>1030</v>
      </c>
      <c r="U321" s="10">
        <v>1</v>
      </c>
      <c r="V321" s="52">
        <v>0</v>
      </c>
      <c r="W321" s="25"/>
      <c r="X321" s="66">
        <f t="shared" si="16"/>
        <v>0</v>
      </c>
      <c r="Y321" s="25"/>
      <c r="Z321" s="84">
        <f t="shared" si="15"/>
        <v>400</v>
      </c>
      <c r="AA321" s="24"/>
    </row>
    <row r="322" spans="1:28" ht="49.5" customHeight="1">
      <c r="A322" s="2">
        <v>321</v>
      </c>
      <c r="B322" s="2" t="s">
        <v>18</v>
      </c>
      <c r="C322" s="2" t="s">
        <v>91</v>
      </c>
      <c r="D322" s="2">
        <v>18</v>
      </c>
      <c r="E322" s="2" t="s">
        <v>20</v>
      </c>
      <c r="F322" s="2">
        <v>191</v>
      </c>
      <c r="G322" s="2" t="s">
        <v>21</v>
      </c>
      <c r="H322" s="14" t="s">
        <v>1031</v>
      </c>
      <c r="I322" s="2" t="s">
        <v>1032</v>
      </c>
      <c r="J322" s="2">
        <v>3000</v>
      </c>
      <c r="K322" s="2" t="s">
        <v>24</v>
      </c>
      <c r="L322" s="2" t="s">
        <v>176</v>
      </c>
      <c r="M322" s="2" t="s">
        <v>26</v>
      </c>
      <c r="N322" s="2" t="s">
        <v>26</v>
      </c>
      <c r="O322" s="2" t="s">
        <v>26</v>
      </c>
      <c r="P322" s="13">
        <v>80</v>
      </c>
      <c r="Q322" s="2" t="s">
        <v>35</v>
      </c>
      <c r="R322" s="2" t="s">
        <v>177</v>
      </c>
      <c r="S322" s="16" t="s">
        <v>254</v>
      </c>
      <c r="T322" s="2" t="s">
        <v>1033</v>
      </c>
      <c r="U322" s="10">
        <v>0</v>
      </c>
      <c r="V322" s="52">
        <v>1</v>
      </c>
      <c r="W322" s="25"/>
      <c r="X322" s="66">
        <f t="shared" si="16"/>
        <v>3000</v>
      </c>
      <c r="Z322" s="84">
        <f t="shared" si="15"/>
        <v>0</v>
      </c>
      <c r="AA322" s="25"/>
    </row>
    <row r="323" spans="1:28" ht="49.5" customHeight="1">
      <c r="A323" s="2">
        <v>322</v>
      </c>
      <c r="B323" s="2" t="s">
        <v>18</v>
      </c>
      <c r="C323" s="2" t="s">
        <v>91</v>
      </c>
      <c r="D323" s="2">
        <v>18</v>
      </c>
      <c r="E323" s="2" t="s">
        <v>20</v>
      </c>
      <c r="F323" s="2">
        <v>191</v>
      </c>
      <c r="G323" s="2" t="s">
        <v>21</v>
      </c>
      <c r="H323" s="14" t="s">
        <v>1034</v>
      </c>
      <c r="I323" s="2" t="s">
        <v>1035</v>
      </c>
      <c r="J323" s="2">
        <v>2500</v>
      </c>
      <c r="K323" s="2" t="s">
        <v>24</v>
      </c>
      <c r="L323" s="2" t="s">
        <v>25</v>
      </c>
      <c r="M323" s="2" t="s">
        <v>26</v>
      </c>
      <c r="N323" s="2" t="s">
        <v>26</v>
      </c>
      <c r="O323" s="2" t="s">
        <v>26</v>
      </c>
      <c r="P323" s="13">
        <v>110</v>
      </c>
      <c r="Q323" s="2" t="s">
        <v>35</v>
      </c>
      <c r="R323" s="2" t="s">
        <v>177</v>
      </c>
      <c r="S323" s="16" t="s">
        <v>254</v>
      </c>
      <c r="T323" s="2" t="s">
        <v>1036</v>
      </c>
      <c r="U323" s="10">
        <v>0</v>
      </c>
      <c r="V323" s="52">
        <v>1</v>
      </c>
      <c r="W323" s="25"/>
      <c r="X323" s="66">
        <f t="shared" si="16"/>
        <v>2500</v>
      </c>
      <c r="Z323" s="84">
        <f t="shared" si="15"/>
        <v>0</v>
      </c>
      <c r="AA323" s="25"/>
    </row>
    <row r="324" spans="1:28" ht="49.5" customHeight="1">
      <c r="A324" s="2">
        <v>323</v>
      </c>
      <c r="B324" s="2" t="s">
        <v>18</v>
      </c>
      <c r="C324" s="2" t="s">
        <v>91</v>
      </c>
      <c r="D324" s="2">
        <v>18</v>
      </c>
      <c r="E324" s="2" t="s">
        <v>20</v>
      </c>
      <c r="F324" s="2">
        <v>150</v>
      </c>
      <c r="G324" s="2" t="s">
        <v>1011</v>
      </c>
      <c r="H324" s="14" t="s">
        <v>1206</v>
      </c>
      <c r="I324" s="2" t="s">
        <v>1207</v>
      </c>
      <c r="J324" s="2">
        <v>754</v>
      </c>
      <c r="K324" s="2" t="s">
        <v>24</v>
      </c>
      <c r="L324" s="2" t="s">
        <v>82</v>
      </c>
      <c r="M324" s="2" t="s">
        <v>26</v>
      </c>
      <c r="N324" s="2" t="s">
        <v>26</v>
      </c>
      <c r="O324" s="2" t="s">
        <v>26</v>
      </c>
      <c r="P324" s="13"/>
      <c r="Q324" s="2" t="s">
        <v>35</v>
      </c>
      <c r="R324" s="2" t="s">
        <v>177</v>
      </c>
      <c r="S324" s="16" t="s">
        <v>254</v>
      </c>
      <c r="T324" s="2" t="s">
        <v>1285</v>
      </c>
      <c r="U324" s="10">
        <v>0</v>
      </c>
      <c r="V324" s="52">
        <v>1</v>
      </c>
      <c r="W324" s="25"/>
      <c r="X324" s="66">
        <f t="shared" si="16"/>
        <v>754</v>
      </c>
      <c r="Z324" s="84">
        <f t="shared" si="15"/>
        <v>0</v>
      </c>
      <c r="AA324" s="25"/>
    </row>
    <row r="325" spans="1:28" ht="49.5" customHeight="1">
      <c r="A325" s="2">
        <v>324</v>
      </c>
      <c r="B325" s="2" t="s">
        <v>18</v>
      </c>
      <c r="C325" s="2" t="s">
        <v>91</v>
      </c>
      <c r="D325" s="2">
        <v>18</v>
      </c>
      <c r="E325" s="2" t="s">
        <v>20</v>
      </c>
      <c r="F325" s="2">
        <v>150</v>
      </c>
      <c r="G325" s="2" t="s">
        <v>1011</v>
      </c>
      <c r="H325" s="14" t="s">
        <v>1208</v>
      </c>
      <c r="I325" s="2" t="s">
        <v>1209</v>
      </c>
      <c r="J325" s="2">
        <v>700</v>
      </c>
      <c r="K325" s="2" t="s">
        <v>24</v>
      </c>
      <c r="L325" s="2" t="s">
        <v>82</v>
      </c>
      <c r="M325" s="2" t="s">
        <v>26</v>
      </c>
      <c r="N325" s="2" t="s">
        <v>26</v>
      </c>
      <c r="O325" s="2" t="s">
        <v>26</v>
      </c>
      <c r="P325" s="13"/>
      <c r="Q325" s="2"/>
      <c r="R325" s="2" t="s">
        <v>177</v>
      </c>
      <c r="S325" s="16" t="s">
        <v>254</v>
      </c>
      <c r="T325" s="2" t="s">
        <v>1286</v>
      </c>
      <c r="U325" s="10">
        <v>1</v>
      </c>
      <c r="V325" s="52">
        <v>0</v>
      </c>
      <c r="W325" s="25"/>
      <c r="X325" s="66">
        <f t="shared" si="16"/>
        <v>0</v>
      </c>
      <c r="Z325" s="84">
        <f t="shared" si="15"/>
        <v>700</v>
      </c>
      <c r="AA325" s="25"/>
    </row>
    <row r="326" spans="1:28" ht="49.5" customHeight="1">
      <c r="A326" s="2">
        <v>325</v>
      </c>
      <c r="B326" s="2" t="s">
        <v>18</v>
      </c>
      <c r="C326" s="2" t="s">
        <v>91</v>
      </c>
      <c r="D326" s="2">
        <v>18</v>
      </c>
      <c r="E326" s="2" t="s">
        <v>20</v>
      </c>
      <c r="F326" s="2">
        <v>150</v>
      </c>
      <c r="G326" s="2" t="s">
        <v>1011</v>
      </c>
      <c r="H326" s="14" t="s">
        <v>1210</v>
      </c>
      <c r="I326" s="2" t="s">
        <v>1211</v>
      </c>
      <c r="J326" s="2">
        <v>1080</v>
      </c>
      <c r="K326" s="2" t="s">
        <v>24</v>
      </c>
      <c r="L326" s="2" t="s">
        <v>82</v>
      </c>
      <c r="M326" s="2" t="s">
        <v>26</v>
      </c>
      <c r="N326" s="2" t="s">
        <v>26</v>
      </c>
      <c r="O326" s="2" t="s">
        <v>26</v>
      </c>
      <c r="P326" s="13"/>
      <c r="Q326" s="2" t="s">
        <v>35</v>
      </c>
      <c r="R326" s="2" t="s">
        <v>177</v>
      </c>
      <c r="S326" s="72" t="s">
        <v>226</v>
      </c>
      <c r="T326" s="2" t="s">
        <v>1287</v>
      </c>
      <c r="U326" s="10">
        <v>0</v>
      </c>
      <c r="V326" s="52">
        <v>1</v>
      </c>
      <c r="W326" s="25"/>
      <c r="X326" s="66">
        <f t="shared" si="16"/>
        <v>1080</v>
      </c>
      <c r="Z326" s="84">
        <f t="shared" si="15"/>
        <v>0</v>
      </c>
      <c r="AA326" s="25"/>
    </row>
    <row r="327" spans="1:28" ht="49.5" customHeight="1">
      <c r="A327" s="2">
        <v>326</v>
      </c>
      <c r="B327" s="2" t="s">
        <v>18</v>
      </c>
      <c r="C327" s="2" t="s">
        <v>91</v>
      </c>
      <c r="D327" s="2">
        <v>18</v>
      </c>
      <c r="E327" s="2" t="s">
        <v>20</v>
      </c>
      <c r="F327" s="2">
        <v>150</v>
      </c>
      <c r="G327" s="2" t="s">
        <v>1011</v>
      </c>
      <c r="H327" s="14" t="s">
        <v>1212</v>
      </c>
      <c r="I327" s="2" t="s">
        <v>1213</v>
      </c>
      <c r="J327" s="2">
        <v>300</v>
      </c>
      <c r="K327" s="2" t="s">
        <v>24</v>
      </c>
      <c r="L327" s="2" t="s">
        <v>82</v>
      </c>
      <c r="M327" s="2" t="s">
        <v>26</v>
      </c>
      <c r="N327" s="2" t="s">
        <v>26</v>
      </c>
      <c r="O327" s="2" t="s">
        <v>26</v>
      </c>
      <c r="P327" s="13"/>
      <c r="Q327" s="2"/>
      <c r="R327" s="2" t="s">
        <v>177</v>
      </c>
      <c r="S327" s="72" t="s">
        <v>254</v>
      </c>
      <c r="T327" s="2" t="s">
        <v>1288</v>
      </c>
      <c r="U327" s="10">
        <v>1</v>
      </c>
      <c r="V327" s="52">
        <v>0</v>
      </c>
      <c r="W327" s="25"/>
      <c r="X327" s="66">
        <f t="shared" si="16"/>
        <v>0</v>
      </c>
      <c r="Z327" s="84">
        <f t="shared" si="15"/>
        <v>300</v>
      </c>
      <c r="AA327" s="25"/>
    </row>
    <row r="328" spans="1:28" ht="49.5" customHeight="1">
      <c r="A328" s="2">
        <v>327</v>
      </c>
      <c r="B328" s="2" t="s">
        <v>1310</v>
      </c>
      <c r="C328" s="2" t="s">
        <v>91</v>
      </c>
      <c r="D328" s="2">
        <v>16</v>
      </c>
      <c r="E328" s="2" t="s">
        <v>183</v>
      </c>
      <c r="F328" s="2">
        <v>145</v>
      </c>
      <c r="G328" s="2" t="s">
        <v>242</v>
      </c>
      <c r="H328" s="2" t="s">
        <v>1038</v>
      </c>
      <c r="I328" s="2" t="s">
        <v>1039</v>
      </c>
      <c r="J328" s="17">
        <v>380</v>
      </c>
      <c r="K328" s="2" t="s">
        <v>24</v>
      </c>
      <c r="L328" s="2" t="s">
        <v>25</v>
      </c>
      <c r="M328" s="2" t="s">
        <v>26</v>
      </c>
      <c r="N328" s="2" t="s">
        <v>26</v>
      </c>
      <c r="O328" s="2" t="s">
        <v>26</v>
      </c>
      <c r="P328" s="13">
        <v>20</v>
      </c>
      <c r="Q328" s="2" t="s">
        <v>35</v>
      </c>
      <c r="R328" s="2" t="s">
        <v>1040</v>
      </c>
      <c r="S328" s="2" t="s">
        <v>1041</v>
      </c>
      <c r="T328" s="2" t="s">
        <v>1042</v>
      </c>
      <c r="U328" s="10">
        <v>0</v>
      </c>
      <c r="V328" s="52">
        <v>1</v>
      </c>
      <c r="W328" s="25"/>
      <c r="X328" s="66">
        <f t="shared" si="16"/>
        <v>380</v>
      </c>
      <c r="Z328" s="84">
        <f t="shared" si="15"/>
        <v>0</v>
      </c>
      <c r="AA328" s="25"/>
    </row>
    <row r="329" spans="1:28" ht="49.5" customHeight="1">
      <c r="A329" s="2">
        <v>328</v>
      </c>
      <c r="B329" s="2" t="s">
        <v>1310</v>
      </c>
      <c r="C329" s="2" t="s">
        <v>91</v>
      </c>
      <c r="D329" s="2">
        <v>16</v>
      </c>
      <c r="E329" s="2" t="s">
        <v>183</v>
      </c>
      <c r="F329" s="2">
        <v>148</v>
      </c>
      <c r="G329" s="2" t="s">
        <v>1001</v>
      </c>
      <c r="H329" s="2" t="s">
        <v>1043</v>
      </c>
      <c r="I329" s="2">
        <v>2259</v>
      </c>
      <c r="J329" s="17">
        <v>400</v>
      </c>
      <c r="K329" s="2" t="s">
        <v>24</v>
      </c>
      <c r="L329" s="2" t="s">
        <v>25</v>
      </c>
      <c r="M329" s="2" t="s">
        <v>26</v>
      </c>
      <c r="N329" s="2" t="s">
        <v>26</v>
      </c>
      <c r="O329" s="2" t="s">
        <v>26</v>
      </c>
      <c r="P329" s="13">
        <v>20</v>
      </c>
      <c r="Q329" s="2" t="s">
        <v>35</v>
      </c>
      <c r="R329" s="2" t="s">
        <v>1040</v>
      </c>
      <c r="S329" s="2" t="s">
        <v>1041</v>
      </c>
      <c r="T329" s="2" t="s">
        <v>1044</v>
      </c>
      <c r="U329" s="10">
        <v>0</v>
      </c>
      <c r="V329" s="52">
        <v>1</v>
      </c>
      <c r="W329" s="25"/>
      <c r="X329" s="66">
        <f t="shared" si="16"/>
        <v>400</v>
      </c>
      <c r="Z329" s="84">
        <f t="shared" si="15"/>
        <v>0</v>
      </c>
      <c r="AA329" s="25"/>
    </row>
    <row r="330" spans="1:28" ht="49.5" customHeight="1" thickBot="1">
      <c r="A330" s="2">
        <v>329</v>
      </c>
      <c r="B330" s="2" t="s">
        <v>1310</v>
      </c>
      <c r="C330" s="2" t="s">
        <v>91</v>
      </c>
      <c r="D330" s="2">
        <v>16</v>
      </c>
      <c r="E330" s="2" t="s">
        <v>183</v>
      </c>
      <c r="F330" s="2">
        <v>148</v>
      </c>
      <c r="G330" s="2" t="s">
        <v>1001</v>
      </c>
      <c r="H330" s="2" t="s">
        <v>1045</v>
      </c>
      <c r="I330" s="2" t="s">
        <v>1046</v>
      </c>
      <c r="J330" s="17">
        <v>2500</v>
      </c>
      <c r="K330" s="2" t="s">
        <v>89</v>
      </c>
      <c r="L330" s="2" t="s">
        <v>176</v>
      </c>
      <c r="M330" s="2" t="s">
        <v>26</v>
      </c>
      <c r="N330" s="2" t="s">
        <v>26</v>
      </c>
      <c r="O330" s="2" t="s">
        <v>26</v>
      </c>
      <c r="P330" s="13">
        <v>30</v>
      </c>
      <c r="Q330" s="2" t="s">
        <v>35</v>
      </c>
      <c r="R330" s="2" t="s">
        <v>1040</v>
      </c>
      <c r="S330" s="2" t="s">
        <v>1041</v>
      </c>
      <c r="T330" s="2" t="s">
        <v>1047</v>
      </c>
      <c r="U330" s="10">
        <v>0</v>
      </c>
      <c r="V330" s="52">
        <v>1</v>
      </c>
      <c r="W330" s="25"/>
      <c r="X330" s="66">
        <f t="shared" si="16"/>
        <v>2500</v>
      </c>
      <c r="Y330" s="84"/>
      <c r="Z330" s="84">
        <f t="shared" si="15"/>
        <v>0</v>
      </c>
      <c r="AA330" s="25"/>
    </row>
    <row r="331" spans="1:28" ht="49.5" customHeight="1" thickBot="1">
      <c r="A331" s="2">
        <v>330</v>
      </c>
      <c r="B331" s="53" t="s">
        <v>1310</v>
      </c>
      <c r="C331" s="53" t="s">
        <v>91</v>
      </c>
      <c r="D331" s="53">
        <v>16</v>
      </c>
      <c r="E331" s="53" t="s">
        <v>183</v>
      </c>
      <c r="F331" s="53">
        <v>149</v>
      </c>
      <c r="G331" s="53" t="s">
        <v>245</v>
      </c>
      <c r="H331" s="53" t="s">
        <v>1048</v>
      </c>
      <c r="I331" s="53" t="s">
        <v>1049</v>
      </c>
      <c r="J331" s="62">
        <v>320</v>
      </c>
      <c r="K331" s="53" t="s">
        <v>24</v>
      </c>
      <c r="L331" s="53" t="s">
        <v>25</v>
      </c>
      <c r="M331" s="53" t="s">
        <v>26</v>
      </c>
      <c r="N331" s="53" t="s">
        <v>26</v>
      </c>
      <c r="O331" s="53" t="s">
        <v>26</v>
      </c>
      <c r="P331" s="86">
        <v>20</v>
      </c>
      <c r="Q331" s="53" t="s">
        <v>35</v>
      </c>
      <c r="R331" s="53" t="s">
        <v>1050</v>
      </c>
      <c r="S331" s="53" t="s">
        <v>1051</v>
      </c>
      <c r="T331" s="53" t="s">
        <v>1052</v>
      </c>
      <c r="U331" s="63">
        <v>0</v>
      </c>
      <c r="V331" s="64">
        <v>1</v>
      </c>
      <c r="W331" s="54"/>
      <c r="X331" s="67">
        <f t="shared" si="16"/>
        <v>320</v>
      </c>
      <c r="Y331" s="84"/>
      <c r="Z331" s="87">
        <f t="shared" si="15"/>
        <v>0</v>
      </c>
      <c r="AA331" s="123">
        <f>SUM(Z307:Z331)</f>
        <v>9420</v>
      </c>
      <c r="AB331" s="93">
        <f>SUM(J307:J331)</f>
        <v>31965</v>
      </c>
    </row>
    <row r="332" spans="1:28" ht="49.5" customHeight="1">
      <c r="A332" s="2">
        <v>331</v>
      </c>
      <c r="B332" s="55" t="s">
        <v>18</v>
      </c>
      <c r="C332" s="55" t="s">
        <v>95</v>
      </c>
      <c r="D332" s="55">
        <v>16</v>
      </c>
      <c r="E332" s="55" t="s">
        <v>183</v>
      </c>
      <c r="F332" s="55">
        <v>117</v>
      </c>
      <c r="G332" s="55" t="s">
        <v>1053</v>
      </c>
      <c r="H332" s="55" t="s">
        <v>1054</v>
      </c>
      <c r="I332" s="55" t="s">
        <v>1055</v>
      </c>
      <c r="J332" s="55">
        <v>540</v>
      </c>
      <c r="K332" s="55" t="s">
        <v>24</v>
      </c>
      <c r="L332" s="55" t="s">
        <v>82</v>
      </c>
      <c r="M332" s="55" t="s">
        <v>26</v>
      </c>
      <c r="N332" s="55" t="s">
        <v>26</v>
      </c>
      <c r="O332" s="55" t="s">
        <v>26</v>
      </c>
      <c r="P332" s="57"/>
      <c r="Q332" s="55" t="s">
        <v>1056</v>
      </c>
      <c r="R332" s="55" t="s">
        <v>177</v>
      </c>
      <c r="S332" s="104" t="s">
        <v>431</v>
      </c>
      <c r="T332" s="55" t="s">
        <v>1289</v>
      </c>
      <c r="U332" s="59">
        <v>1</v>
      </c>
      <c r="V332" s="109">
        <v>0</v>
      </c>
      <c r="W332" s="25"/>
      <c r="X332" s="82">
        <f t="shared" si="16"/>
        <v>0</v>
      </c>
      <c r="Y332" s="84"/>
      <c r="Z332" s="84">
        <f t="shared" si="15"/>
        <v>540</v>
      </c>
    </row>
    <row r="333" spans="1:28" ht="49.5" customHeight="1">
      <c r="A333" s="2">
        <v>332</v>
      </c>
      <c r="B333" s="105" t="s">
        <v>18</v>
      </c>
      <c r="C333" s="105" t="s">
        <v>95</v>
      </c>
      <c r="D333" s="105">
        <v>15</v>
      </c>
      <c r="E333" s="105" t="s">
        <v>172</v>
      </c>
      <c r="F333" s="105">
        <v>116</v>
      </c>
      <c r="G333" s="105" t="s">
        <v>1057</v>
      </c>
      <c r="H333" s="105" t="s">
        <v>1058</v>
      </c>
      <c r="I333" s="105" t="s">
        <v>1059</v>
      </c>
      <c r="J333" s="105">
        <v>17000</v>
      </c>
      <c r="K333" s="105" t="s">
        <v>89</v>
      </c>
      <c r="L333" s="105" t="s">
        <v>176</v>
      </c>
      <c r="M333" s="105" t="s">
        <v>26</v>
      </c>
      <c r="N333" s="105" t="s">
        <v>26</v>
      </c>
      <c r="O333" s="105" t="s">
        <v>26</v>
      </c>
      <c r="P333" s="106">
        <v>130</v>
      </c>
      <c r="Q333" s="105" t="s">
        <v>35</v>
      </c>
      <c r="R333" s="105" t="s">
        <v>177</v>
      </c>
      <c r="S333" s="118" t="s">
        <v>431</v>
      </c>
      <c r="T333" s="105" t="s">
        <v>1060</v>
      </c>
      <c r="U333" s="108">
        <v>0</v>
      </c>
      <c r="V333" s="52">
        <v>1</v>
      </c>
      <c r="W333" s="25"/>
      <c r="X333" s="66">
        <f t="shared" si="16"/>
        <v>17000</v>
      </c>
      <c r="Z333" s="84">
        <f t="shared" si="15"/>
        <v>0</v>
      </c>
    </row>
    <row r="334" spans="1:28" ht="49.5" customHeight="1">
      <c r="A334" s="2">
        <v>333</v>
      </c>
      <c r="B334" s="2" t="s">
        <v>18</v>
      </c>
      <c r="C334" s="2" t="s">
        <v>95</v>
      </c>
      <c r="D334" s="2">
        <v>15</v>
      </c>
      <c r="E334" s="2" t="s">
        <v>172</v>
      </c>
      <c r="F334" s="2">
        <v>136</v>
      </c>
      <c r="G334" s="2" t="s">
        <v>1061</v>
      </c>
      <c r="H334" s="2" t="s">
        <v>1062</v>
      </c>
      <c r="I334" s="2" t="s">
        <v>1063</v>
      </c>
      <c r="J334" s="2">
        <v>600</v>
      </c>
      <c r="K334" s="2" t="s">
        <v>1064</v>
      </c>
      <c r="L334" s="2" t="s">
        <v>176</v>
      </c>
      <c r="M334" s="2" t="s">
        <v>26</v>
      </c>
      <c r="N334" s="2" t="s">
        <v>26</v>
      </c>
      <c r="O334" s="2" t="s">
        <v>26</v>
      </c>
      <c r="P334" s="13">
        <v>110</v>
      </c>
      <c r="Q334" s="2" t="s">
        <v>35</v>
      </c>
      <c r="R334" s="2" t="s">
        <v>177</v>
      </c>
      <c r="S334" s="16" t="s">
        <v>178</v>
      </c>
      <c r="T334" s="2" t="s">
        <v>1065</v>
      </c>
      <c r="U334" s="10">
        <v>0</v>
      </c>
      <c r="V334" s="52">
        <v>1</v>
      </c>
      <c r="W334" s="25"/>
      <c r="X334" s="66">
        <f t="shared" si="16"/>
        <v>600</v>
      </c>
      <c r="Z334" s="84">
        <f t="shared" si="15"/>
        <v>0</v>
      </c>
    </row>
    <row r="335" spans="1:28" s="12" customFormat="1" ht="49.5" customHeight="1">
      <c r="A335" s="2">
        <v>334</v>
      </c>
      <c r="B335" s="2" t="s">
        <v>18</v>
      </c>
      <c r="C335" s="2" t="s">
        <v>95</v>
      </c>
      <c r="D335" s="2">
        <v>15</v>
      </c>
      <c r="E335" s="2" t="s">
        <v>172</v>
      </c>
      <c r="F335" s="2">
        <v>116</v>
      </c>
      <c r="G335" s="2" t="s">
        <v>1057</v>
      </c>
      <c r="H335" s="2" t="s">
        <v>1066</v>
      </c>
      <c r="I335" s="2" t="s">
        <v>1067</v>
      </c>
      <c r="J335" s="2">
        <v>400</v>
      </c>
      <c r="K335" s="2" t="s">
        <v>24</v>
      </c>
      <c r="L335" s="2" t="s">
        <v>25</v>
      </c>
      <c r="M335" s="2" t="s">
        <v>26</v>
      </c>
      <c r="N335" s="2" t="s">
        <v>26</v>
      </c>
      <c r="O335" s="2" t="s">
        <v>26</v>
      </c>
      <c r="P335" s="13">
        <v>100</v>
      </c>
      <c r="Q335" s="2" t="s">
        <v>666</v>
      </c>
      <c r="R335" s="2" t="s">
        <v>177</v>
      </c>
      <c r="S335" s="16" t="s">
        <v>431</v>
      </c>
      <c r="T335" s="2" t="s">
        <v>1290</v>
      </c>
      <c r="U335" s="10">
        <v>0.2</v>
      </c>
      <c r="V335" s="52">
        <v>0.8</v>
      </c>
      <c r="W335" s="25"/>
      <c r="X335" s="66">
        <f t="shared" si="16"/>
        <v>320</v>
      </c>
      <c r="Y335" s="25"/>
      <c r="Z335" s="84">
        <f t="shared" ref="Z335:Z348" si="17">J335-X335</f>
        <v>80</v>
      </c>
      <c r="AA335" s="24"/>
    </row>
    <row r="336" spans="1:28" s="12" customFormat="1" ht="49.5" customHeight="1">
      <c r="A336" s="2">
        <v>335</v>
      </c>
      <c r="B336" s="2" t="s">
        <v>18</v>
      </c>
      <c r="C336" s="2" t="s">
        <v>95</v>
      </c>
      <c r="D336" s="2">
        <v>15</v>
      </c>
      <c r="E336" s="2" t="s">
        <v>172</v>
      </c>
      <c r="F336" s="2">
        <v>136</v>
      </c>
      <c r="G336" s="2" t="s">
        <v>1061</v>
      </c>
      <c r="H336" s="2" t="s">
        <v>1068</v>
      </c>
      <c r="I336" s="2" t="s">
        <v>1069</v>
      </c>
      <c r="J336" s="2">
        <v>500</v>
      </c>
      <c r="K336" s="2" t="s">
        <v>1064</v>
      </c>
      <c r="L336" s="2" t="s">
        <v>176</v>
      </c>
      <c r="M336" s="2" t="s">
        <v>26</v>
      </c>
      <c r="N336" s="2" t="s">
        <v>26</v>
      </c>
      <c r="O336" s="2" t="s">
        <v>26</v>
      </c>
      <c r="P336" s="13">
        <v>80</v>
      </c>
      <c r="Q336" s="2" t="s">
        <v>35</v>
      </c>
      <c r="R336" s="2" t="s">
        <v>177</v>
      </c>
      <c r="S336" s="16" t="s">
        <v>178</v>
      </c>
      <c r="T336" s="2" t="s">
        <v>1070</v>
      </c>
      <c r="U336" s="10">
        <v>0</v>
      </c>
      <c r="V336" s="52">
        <v>1</v>
      </c>
      <c r="W336" s="25"/>
      <c r="X336" s="66">
        <f t="shared" si="16"/>
        <v>500</v>
      </c>
      <c r="Y336" s="25"/>
      <c r="Z336" s="84">
        <f t="shared" si="17"/>
        <v>0</v>
      </c>
      <c r="AA336" s="24"/>
    </row>
    <row r="337" spans="1:28" s="12" customFormat="1" ht="55.5" customHeight="1">
      <c r="A337" s="2">
        <v>336</v>
      </c>
      <c r="B337" s="2" t="s">
        <v>18</v>
      </c>
      <c r="C337" s="2" t="s">
        <v>95</v>
      </c>
      <c r="D337" s="2">
        <v>15</v>
      </c>
      <c r="E337" s="2" t="s">
        <v>172</v>
      </c>
      <c r="F337" s="2">
        <v>136</v>
      </c>
      <c r="G337" s="2" t="s">
        <v>1061</v>
      </c>
      <c r="H337" s="2" t="s">
        <v>1071</v>
      </c>
      <c r="I337" s="2" t="s">
        <v>1072</v>
      </c>
      <c r="J337" s="2">
        <v>500</v>
      </c>
      <c r="K337" s="2" t="s">
        <v>1064</v>
      </c>
      <c r="L337" s="2" t="s">
        <v>176</v>
      </c>
      <c r="M337" s="2" t="s">
        <v>26</v>
      </c>
      <c r="N337" s="2" t="s">
        <v>26</v>
      </c>
      <c r="O337" s="2" t="s">
        <v>26</v>
      </c>
      <c r="P337" s="13">
        <v>70</v>
      </c>
      <c r="Q337" s="2" t="s">
        <v>35</v>
      </c>
      <c r="R337" s="2" t="s">
        <v>177</v>
      </c>
      <c r="S337" s="16" t="s">
        <v>178</v>
      </c>
      <c r="T337" s="2" t="s">
        <v>1073</v>
      </c>
      <c r="U337" s="10">
        <v>0</v>
      </c>
      <c r="V337" s="52">
        <v>1</v>
      </c>
      <c r="W337" s="25"/>
      <c r="X337" s="66">
        <f t="shared" si="16"/>
        <v>500</v>
      </c>
      <c r="Y337" s="25"/>
      <c r="Z337" s="84">
        <f t="shared" si="17"/>
        <v>0</v>
      </c>
      <c r="AA337" s="24"/>
    </row>
    <row r="338" spans="1:28" ht="55.5" customHeight="1">
      <c r="A338" s="2">
        <v>337</v>
      </c>
      <c r="B338" s="2" t="s">
        <v>18</v>
      </c>
      <c r="C338" s="2" t="s">
        <v>95</v>
      </c>
      <c r="D338" s="2">
        <v>15</v>
      </c>
      <c r="E338" s="2" t="s">
        <v>172</v>
      </c>
      <c r="F338" s="2">
        <v>136</v>
      </c>
      <c r="G338" s="2" t="s">
        <v>1061</v>
      </c>
      <c r="H338" s="2" t="s">
        <v>1074</v>
      </c>
      <c r="I338" s="2" t="s">
        <v>1075</v>
      </c>
      <c r="J338" s="2">
        <v>300</v>
      </c>
      <c r="K338" s="2" t="s">
        <v>1064</v>
      </c>
      <c r="L338" s="2" t="s">
        <v>176</v>
      </c>
      <c r="M338" s="2" t="s">
        <v>26</v>
      </c>
      <c r="N338" s="2" t="s">
        <v>26</v>
      </c>
      <c r="O338" s="2" t="s">
        <v>26</v>
      </c>
      <c r="P338" s="13">
        <v>80</v>
      </c>
      <c r="Q338" s="2" t="s">
        <v>35</v>
      </c>
      <c r="R338" s="2" t="s">
        <v>177</v>
      </c>
      <c r="S338" s="16" t="s">
        <v>178</v>
      </c>
      <c r="T338" s="2" t="s">
        <v>1076</v>
      </c>
      <c r="U338" s="10">
        <v>0</v>
      </c>
      <c r="V338" s="52">
        <v>1</v>
      </c>
      <c r="W338" s="25"/>
      <c r="X338" s="66">
        <f t="shared" si="16"/>
        <v>300</v>
      </c>
      <c r="Z338" s="84">
        <f t="shared" si="17"/>
        <v>0</v>
      </c>
    </row>
    <row r="339" spans="1:28" ht="55.5" customHeight="1">
      <c r="A339" s="2">
        <v>338</v>
      </c>
      <c r="B339" s="2" t="s">
        <v>18</v>
      </c>
      <c r="C339" s="2" t="s">
        <v>95</v>
      </c>
      <c r="D339" s="2">
        <v>15</v>
      </c>
      <c r="E339" s="2" t="s">
        <v>172</v>
      </c>
      <c r="F339" s="2">
        <v>137</v>
      </c>
      <c r="G339" s="2" t="s">
        <v>173</v>
      </c>
      <c r="H339" s="2" t="s">
        <v>1077</v>
      </c>
      <c r="I339" s="2" t="s">
        <v>1078</v>
      </c>
      <c r="J339" s="2">
        <v>400</v>
      </c>
      <c r="K339" s="2" t="s">
        <v>1064</v>
      </c>
      <c r="L339" s="2" t="s">
        <v>176</v>
      </c>
      <c r="M339" s="2" t="s">
        <v>26</v>
      </c>
      <c r="N339" s="2" t="s">
        <v>26</v>
      </c>
      <c r="O339" s="2" t="s">
        <v>26</v>
      </c>
      <c r="P339" s="13">
        <v>80</v>
      </c>
      <c r="Q339" s="2" t="s">
        <v>35</v>
      </c>
      <c r="R339" s="2" t="s">
        <v>177</v>
      </c>
      <c r="S339" s="16" t="s">
        <v>178</v>
      </c>
      <c r="T339" s="2" t="s">
        <v>1079</v>
      </c>
      <c r="U339" s="10">
        <v>0</v>
      </c>
      <c r="V339" s="52">
        <v>1</v>
      </c>
      <c r="W339" s="25"/>
      <c r="X339" s="66">
        <f t="shared" si="16"/>
        <v>400</v>
      </c>
      <c r="Z339" s="84">
        <f t="shared" si="17"/>
        <v>0</v>
      </c>
    </row>
    <row r="340" spans="1:28" ht="55.5" customHeight="1">
      <c r="A340" s="2">
        <v>339</v>
      </c>
      <c r="B340" s="2" t="s">
        <v>18</v>
      </c>
      <c r="C340" s="2" t="s">
        <v>95</v>
      </c>
      <c r="D340" s="2">
        <v>15</v>
      </c>
      <c r="E340" s="2" t="s">
        <v>172</v>
      </c>
      <c r="F340" s="2">
        <v>137</v>
      </c>
      <c r="G340" s="2" t="s">
        <v>173</v>
      </c>
      <c r="H340" s="2" t="s">
        <v>1080</v>
      </c>
      <c r="I340" s="2" t="s">
        <v>1081</v>
      </c>
      <c r="J340" s="2">
        <v>400</v>
      </c>
      <c r="K340" s="2" t="s">
        <v>1064</v>
      </c>
      <c r="L340" s="2" t="s">
        <v>176</v>
      </c>
      <c r="M340" s="2" t="s">
        <v>26</v>
      </c>
      <c r="N340" s="2" t="s">
        <v>26</v>
      </c>
      <c r="O340" s="2" t="s">
        <v>26</v>
      </c>
      <c r="P340" s="13">
        <v>100</v>
      </c>
      <c r="Q340" s="2" t="s">
        <v>35</v>
      </c>
      <c r="R340" s="2" t="s">
        <v>177</v>
      </c>
      <c r="S340" s="16" t="s">
        <v>178</v>
      </c>
      <c r="T340" s="2" t="s">
        <v>1292</v>
      </c>
      <c r="U340" s="10">
        <v>0.5</v>
      </c>
      <c r="V340" s="52">
        <v>0.5</v>
      </c>
      <c r="W340" s="25"/>
      <c r="X340" s="66">
        <f t="shared" si="16"/>
        <v>200</v>
      </c>
      <c r="Z340" s="84">
        <f t="shared" si="17"/>
        <v>200</v>
      </c>
    </row>
    <row r="341" spans="1:28" ht="55.5" customHeight="1">
      <c r="A341" s="2">
        <v>340</v>
      </c>
      <c r="B341" s="2" t="s">
        <v>18</v>
      </c>
      <c r="C341" s="2" t="s">
        <v>95</v>
      </c>
      <c r="D341" s="2">
        <v>16</v>
      </c>
      <c r="E341" s="2" t="s">
        <v>183</v>
      </c>
      <c r="F341" s="2">
        <v>131</v>
      </c>
      <c r="G341" s="2" t="s">
        <v>208</v>
      </c>
      <c r="H341" s="2" t="s">
        <v>1082</v>
      </c>
      <c r="I341" s="2" t="s">
        <v>1083</v>
      </c>
      <c r="J341" s="2">
        <v>2500</v>
      </c>
      <c r="K341" s="2" t="s">
        <v>24</v>
      </c>
      <c r="L341" s="2" t="s">
        <v>176</v>
      </c>
      <c r="M341" s="2" t="s">
        <v>26</v>
      </c>
      <c r="N341" s="2" t="s">
        <v>26</v>
      </c>
      <c r="O341" s="2" t="s">
        <v>26</v>
      </c>
      <c r="P341" s="13">
        <v>80</v>
      </c>
      <c r="Q341" s="2" t="s">
        <v>35</v>
      </c>
      <c r="R341" s="2" t="s">
        <v>177</v>
      </c>
      <c r="S341" s="16" t="s">
        <v>431</v>
      </c>
      <c r="T341" s="2" t="s">
        <v>1291</v>
      </c>
      <c r="U341" s="10">
        <v>0.6</v>
      </c>
      <c r="V341" s="52">
        <v>0.4</v>
      </c>
      <c r="W341" s="25"/>
      <c r="X341" s="66">
        <f t="shared" si="16"/>
        <v>1000</v>
      </c>
      <c r="Z341" s="84">
        <f t="shared" si="17"/>
        <v>1500</v>
      </c>
    </row>
    <row r="342" spans="1:28" ht="55.5" customHeight="1">
      <c r="A342" s="2">
        <v>341</v>
      </c>
      <c r="B342" s="2" t="s">
        <v>1310</v>
      </c>
      <c r="C342" s="2" t="s">
        <v>95</v>
      </c>
      <c r="D342" s="2">
        <v>15</v>
      </c>
      <c r="E342" s="2" t="s">
        <v>172</v>
      </c>
      <c r="F342" s="2">
        <v>117</v>
      </c>
      <c r="G342" s="2" t="s">
        <v>1053</v>
      </c>
      <c r="H342" s="2" t="s">
        <v>1084</v>
      </c>
      <c r="I342" s="2" t="s">
        <v>1085</v>
      </c>
      <c r="J342" s="17">
        <v>500</v>
      </c>
      <c r="K342" s="2" t="s">
        <v>24</v>
      </c>
      <c r="L342" s="2" t="s">
        <v>176</v>
      </c>
      <c r="M342" s="2" t="s">
        <v>215</v>
      </c>
      <c r="N342" s="2" t="s">
        <v>26</v>
      </c>
      <c r="O342" s="2" t="s">
        <v>26</v>
      </c>
      <c r="P342" s="13">
        <v>20</v>
      </c>
      <c r="Q342" s="2" t="s">
        <v>35</v>
      </c>
      <c r="R342" s="2" t="s">
        <v>1086</v>
      </c>
      <c r="S342" s="2" t="s">
        <v>1087</v>
      </c>
      <c r="T342" s="2" t="s">
        <v>1084</v>
      </c>
      <c r="U342" s="10">
        <v>0</v>
      </c>
      <c r="V342" s="52">
        <v>1</v>
      </c>
      <c r="W342" s="25"/>
      <c r="X342" s="66">
        <f t="shared" si="16"/>
        <v>500</v>
      </c>
      <c r="Z342" s="84">
        <f t="shared" si="17"/>
        <v>0</v>
      </c>
    </row>
    <row r="343" spans="1:28" ht="55.5" customHeight="1">
      <c r="A343" s="2">
        <v>342</v>
      </c>
      <c r="B343" s="2" t="s">
        <v>1310</v>
      </c>
      <c r="C343" s="2" t="s">
        <v>95</v>
      </c>
      <c r="D343" s="2">
        <v>15</v>
      </c>
      <c r="E343" s="2" t="s">
        <v>172</v>
      </c>
      <c r="F343" s="2">
        <v>136</v>
      </c>
      <c r="G343" s="2" t="s">
        <v>1061</v>
      </c>
      <c r="H343" s="2" t="s">
        <v>1088</v>
      </c>
      <c r="I343" s="2" t="s">
        <v>1089</v>
      </c>
      <c r="J343" s="17">
        <v>800</v>
      </c>
      <c r="K343" s="2" t="s">
        <v>24</v>
      </c>
      <c r="L343" s="2" t="s">
        <v>176</v>
      </c>
      <c r="M343" s="2" t="s">
        <v>215</v>
      </c>
      <c r="N343" s="2" t="s">
        <v>26</v>
      </c>
      <c r="O343" s="2" t="s">
        <v>215</v>
      </c>
      <c r="P343" s="13">
        <v>20</v>
      </c>
      <c r="Q343" s="2" t="s">
        <v>35</v>
      </c>
      <c r="R343" s="2" t="s">
        <v>1090</v>
      </c>
      <c r="S343" s="2" t="s">
        <v>1091</v>
      </c>
      <c r="T343" s="2" t="s">
        <v>1092</v>
      </c>
      <c r="U343" s="10">
        <v>0</v>
      </c>
      <c r="V343" s="52">
        <v>1</v>
      </c>
      <c r="W343" s="25"/>
      <c r="X343" s="66">
        <f t="shared" si="16"/>
        <v>800</v>
      </c>
      <c r="Z343" s="84">
        <f t="shared" si="17"/>
        <v>0</v>
      </c>
    </row>
    <row r="344" spans="1:28" ht="55.5" customHeight="1">
      <c r="A344" s="2">
        <v>343</v>
      </c>
      <c r="B344" s="2" t="s">
        <v>1310</v>
      </c>
      <c r="C344" s="2" t="s">
        <v>95</v>
      </c>
      <c r="D344" s="2">
        <v>15</v>
      </c>
      <c r="E344" s="2" t="s">
        <v>172</v>
      </c>
      <c r="F344" s="2">
        <v>138</v>
      </c>
      <c r="G344" s="2" t="s">
        <v>1093</v>
      </c>
      <c r="H344" s="2" t="s">
        <v>1094</v>
      </c>
      <c r="I344" s="2" t="s">
        <v>1095</v>
      </c>
      <c r="J344" s="17">
        <v>700</v>
      </c>
      <c r="K344" s="2" t="s">
        <v>24</v>
      </c>
      <c r="L344" s="2" t="s">
        <v>176</v>
      </c>
      <c r="M344" s="2" t="s">
        <v>215</v>
      </c>
      <c r="N344" s="2" t="s">
        <v>26</v>
      </c>
      <c r="O344" s="2" t="s">
        <v>26</v>
      </c>
      <c r="P344" s="13">
        <v>20</v>
      </c>
      <c r="Q344" s="2" t="s">
        <v>35</v>
      </c>
      <c r="R344" s="2" t="s">
        <v>1096</v>
      </c>
      <c r="S344" s="2" t="s">
        <v>1091</v>
      </c>
      <c r="T344" s="2" t="s">
        <v>1094</v>
      </c>
      <c r="U344" s="10">
        <v>0</v>
      </c>
      <c r="V344" s="52">
        <v>1</v>
      </c>
      <c r="W344" s="25"/>
      <c r="X344" s="66">
        <f t="shared" si="16"/>
        <v>700</v>
      </c>
      <c r="Z344" s="84">
        <f t="shared" si="17"/>
        <v>0</v>
      </c>
    </row>
    <row r="345" spans="1:28" ht="55.5" customHeight="1">
      <c r="A345" s="2">
        <v>344</v>
      </c>
      <c r="B345" s="2" t="s">
        <v>1123</v>
      </c>
      <c r="C345" s="2" t="s">
        <v>95</v>
      </c>
      <c r="D345" s="2">
        <v>15</v>
      </c>
      <c r="E345" s="2" t="s">
        <v>172</v>
      </c>
      <c r="F345" s="2">
        <v>136</v>
      </c>
      <c r="G345" s="2" t="s">
        <v>1061</v>
      </c>
      <c r="H345" s="2" t="s">
        <v>1139</v>
      </c>
      <c r="I345" s="2" t="s">
        <v>1140</v>
      </c>
      <c r="J345" s="23">
        <v>30000</v>
      </c>
      <c r="K345" s="2" t="s">
        <v>89</v>
      </c>
      <c r="L345" s="2" t="s">
        <v>1131</v>
      </c>
      <c r="M345" s="2" t="s">
        <v>1131</v>
      </c>
      <c r="N345" s="2" t="s">
        <v>1131</v>
      </c>
      <c r="O345" s="2" t="s">
        <v>1131</v>
      </c>
      <c r="P345" s="13">
        <v>20</v>
      </c>
      <c r="Q345" s="2" t="s">
        <v>1133</v>
      </c>
      <c r="R345" s="2" t="s">
        <v>1141</v>
      </c>
      <c r="S345" s="2" t="s">
        <v>1142</v>
      </c>
      <c r="T345" s="2"/>
      <c r="U345" s="10">
        <v>0</v>
      </c>
      <c r="V345" s="52">
        <v>1</v>
      </c>
      <c r="W345" s="25"/>
      <c r="X345" s="66">
        <f t="shared" si="16"/>
        <v>30000</v>
      </c>
      <c r="Z345" s="84">
        <f t="shared" si="17"/>
        <v>0</v>
      </c>
      <c r="AA345" s="25"/>
    </row>
    <row r="346" spans="1:28" ht="55.5" customHeight="1">
      <c r="A346" s="2">
        <v>345</v>
      </c>
      <c r="B346" s="2" t="s">
        <v>1124</v>
      </c>
      <c r="C346" s="2" t="s">
        <v>95</v>
      </c>
      <c r="D346" s="2">
        <v>15</v>
      </c>
      <c r="E346" s="2" t="s">
        <v>172</v>
      </c>
      <c r="F346" s="2">
        <v>136</v>
      </c>
      <c r="G346" s="2" t="s">
        <v>1061</v>
      </c>
      <c r="H346" s="2" t="s">
        <v>1143</v>
      </c>
      <c r="I346" s="2">
        <v>16472</v>
      </c>
      <c r="J346" s="23">
        <v>2300</v>
      </c>
      <c r="K346" s="2" t="s">
        <v>24</v>
      </c>
      <c r="L346" s="2" t="s">
        <v>1131</v>
      </c>
      <c r="M346" s="2" t="s">
        <v>1131</v>
      </c>
      <c r="N346" s="2" t="s">
        <v>1131</v>
      </c>
      <c r="O346" s="2" t="s">
        <v>1131</v>
      </c>
      <c r="P346" s="13" t="s">
        <v>1144</v>
      </c>
      <c r="Q346" s="2" t="s">
        <v>1145</v>
      </c>
      <c r="R346" s="2" t="s">
        <v>1146</v>
      </c>
      <c r="S346" s="2" t="s">
        <v>1147</v>
      </c>
      <c r="T346" s="2"/>
      <c r="U346" s="10">
        <v>0</v>
      </c>
      <c r="V346" s="52">
        <v>1</v>
      </c>
      <c r="W346" s="25"/>
      <c r="X346" s="66">
        <f t="shared" si="16"/>
        <v>2300</v>
      </c>
      <c r="Z346" s="84">
        <f t="shared" si="17"/>
        <v>0</v>
      </c>
      <c r="AA346" s="25"/>
    </row>
    <row r="347" spans="1:28" ht="55.5" customHeight="1" thickBot="1">
      <c r="A347" s="2">
        <v>346</v>
      </c>
      <c r="B347" s="2" t="s">
        <v>1125</v>
      </c>
      <c r="C347" s="2" t="s">
        <v>95</v>
      </c>
      <c r="D347" s="2">
        <v>15</v>
      </c>
      <c r="E347" s="2" t="s">
        <v>172</v>
      </c>
      <c r="F347" s="2">
        <v>136</v>
      </c>
      <c r="G347" s="2" t="s">
        <v>1061</v>
      </c>
      <c r="H347" s="2" t="s">
        <v>641</v>
      </c>
      <c r="I347" s="2" t="s">
        <v>1148</v>
      </c>
      <c r="J347" s="2">
        <v>10800</v>
      </c>
      <c r="K347" s="2" t="s">
        <v>24</v>
      </c>
      <c r="L347" s="2" t="s">
        <v>176</v>
      </c>
      <c r="M347" s="2" t="s">
        <v>1131</v>
      </c>
      <c r="N347" s="2" t="s">
        <v>1131</v>
      </c>
      <c r="O347" s="2" t="s">
        <v>1131</v>
      </c>
      <c r="P347" s="13" t="s">
        <v>1149</v>
      </c>
      <c r="Q347" s="2" t="s">
        <v>1150</v>
      </c>
      <c r="R347" s="2" t="s">
        <v>1151</v>
      </c>
      <c r="S347" s="2" t="s">
        <v>1152</v>
      </c>
      <c r="T347" s="2"/>
      <c r="U347" s="10">
        <v>0</v>
      </c>
      <c r="V347" s="52">
        <v>1</v>
      </c>
      <c r="W347" s="25"/>
      <c r="X347" s="66">
        <f t="shared" si="16"/>
        <v>10800</v>
      </c>
      <c r="Z347" s="84">
        <f t="shared" si="17"/>
        <v>0</v>
      </c>
      <c r="AA347" s="25"/>
    </row>
    <row r="348" spans="1:28" ht="55.5" customHeight="1" thickBot="1">
      <c r="A348" s="85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86"/>
      <c r="Q348" s="53"/>
      <c r="R348" s="53"/>
      <c r="S348" s="103"/>
      <c r="T348" s="53"/>
      <c r="U348" s="63"/>
      <c r="V348" s="64"/>
      <c r="W348" s="54"/>
      <c r="X348" s="67"/>
      <c r="Z348" s="87">
        <f t="shared" si="17"/>
        <v>0</v>
      </c>
      <c r="AA348" s="123">
        <f>SUM(Z332:Z347)</f>
        <v>2320</v>
      </c>
      <c r="AB348" s="93">
        <f>SUM(J332:J347)</f>
        <v>68240</v>
      </c>
    </row>
  </sheetData>
  <autoFilter ref="A1:WWF339" xr:uid="{00000000-0009-0000-0000-000001000000}">
    <sortState xmlns:xlrd2="http://schemas.microsoft.com/office/spreadsheetml/2017/richdata2" ref="A2:AA353">
      <sortCondition ref="A1:A343"/>
    </sortState>
  </autoFilter>
  <sortState xmlns:xlrd2="http://schemas.microsoft.com/office/spreadsheetml/2017/richdata2" ref="A2:AA356">
    <sortCondition ref="C2:C356"/>
  </sortState>
  <mergeCells count="1">
    <mergeCell ref="S290:S294"/>
  </mergeCells>
  <hyperlinks>
    <hyperlink ref="S120" r:id="rId1" xr:uid="{00000000-0004-0000-0100-000000000000}"/>
    <hyperlink ref="S149" r:id="rId2" xr:uid="{00000000-0004-0000-0100-000001000000}"/>
    <hyperlink ref="S302" r:id="rId3" xr:uid="{00000000-0004-0000-0100-000002000000}"/>
    <hyperlink ref="S98" r:id="rId4" xr:uid="{00000000-0004-0000-0100-000003000000}"/>
    <hyperlink ref="S99" r:id="rId5" xr:uid="{00000000-0004-0000-0100-000004000000}"/>
    <hyperlink ref="S258" r:id="rId6" xr:uid="{00000000-0004-0000-0100-000005000000}"/>
    <hyperlink ref="S259" r:id="rId7" xr:uid="{00000000-0004-0000-0100-000006000000}"/>
    <hyperlink ref="S257" r:id="rId8" xr:uid="{00000000-0004-0000-0100-000007000000}"/>
    <hyperlink ref="S255" r:id="rId9" xr:uid="{00000000-0004-0000-0100-000008000000}"/>
    <hyperlink ref="S256" r:id="rId10" xr:uid="{00000000-0004-0000-0100-000009000000}"/>
    <hyperlink ref="S170" r:id="rId11" xr:uid="{00000000-0004-0000-0100-00000A000000}"/>
    <hyperlink ref="S171" r:id="rId12" xr:uid="{00000000-0004-0000-0100-00000B000000}"/>
    <hyperlink ref="S172" r:id="rId13" xr:uid="{00000000-0004-0000-0100-00000C000000}"/>
    <hyperlink ref="S173" r:id="rId14" xr:uid="{00000000-0004-0000-0100-00000D000000}"/>
    <hyperlink ref="S345" r:id="rId15" xr:uid="{00000000-0004-0000-0100-00000E000000}"/>
    <hyperlink ref="S346" r:id="rId16" xr:uid="{00000000-0004-0000-0100-00000F000000}"/>
    <hyperlink ref="S347" r:id="rId17" xr:uid="{00000000-0004-0000-0100-000010000000}"/>
    <hyperlink ref="S41" r:id="rId18" xr:uid="{00000000-0004-0000-0100-000011000000}"/>
    <hyperlink ref="S80" r:id="rId19" xr:uid="{00000000-0004-0000-0100-000012000000}"/>
    <hyperlink ref="S79" r:id="rId20" xr:uid="{00000000-0004-0000-0100-000013000000}"/>
    <hyperlink ref="S141" r:id="rId21" xr:uid="{00000000-0004-0000-0100-000014000000}"/>
    <hyperlink ref="S175" r:id="rId22" xr:uid="{00000000-0004-0000-0100-000015000000}"/>
    <hyperlink ref="S176" r:id="rId23" xr:uid="{00000000-0004-0000-0100-000016000000}"/>
    <hyperlink ref="S177" r:id="rId24" xr:uid="{00000000-0004-0000-0100-000017000000}"/>
    <hyperlink ref="S179" r:id="rId25" xr:uid="{00000000-0004-0000-0100-000018000000}"/>
    <hyperlink ref="S187" r:id="rId26" xr:uid="{00000000-0004-0000-0100-000019000000}"/>
    <hyperlink ref="S188" r:id="rId27" xr:uid="{00000000-0004-0000-0100-00001A000000}"/>
    <hyperlink ref="S189" r:id="rId28" xr:uid="{00000000-0004-0000-0100-00001B000000}"/>
    <hyperlink ref="S190" r:id="rId29" xr:uid="{00000000-0004-0000-0100-00001C000000}"/>
    <hyperlink ref="S191" r:id="rId30" xr:uid="{00000000-0004-0000-0100-00001D000000}"/>
    <hyperlink ref="S192" r:id="rId31" xr:uid="{00000000-0004-0000-0100-00001E000000}"/>
    <hyperlink ref="S194" r:id="rId32" xr:uid="{00000000-0004-0000-0100-00001F000000}"/>
    <hyperlink ref="S312" r:id="rId33" xr:uid="{00000000-0004-0000-0100-000020000000}"/>
    <hyperlink ref="S307" r:id="rId34" xr:uid="{00000000-0004-0000-0100-000021000000}"/>
    <hyperlink ref="S308" r:id="rId35" xr:uid="{00000000-0004-0000-0100-000022000000}"/>
    <hyperlink ref="S309" r:id="rId36" xr:uid="{00000000-0004-0000-0100-000023000000}"/>
    <hyperlink ref="S310" r:id="rId37" xr:uid="{00000000-0004-0000-0100-000024000000}"/>
    <hyperlink ref="S311" r:id="rId38" xr:uid="{00000000-0004-0000-0100-000025000000}"/>
    <hyperlink ref="S326" r:id="rId39" xr:uid="{00000000-0004-0000-0100-000026000000}"/>
    <hyperlink ref="S327" r:id="rId40" xr:uid="{00000000-0004-0000-0100-000027000000}"/>
    <hyperlink ref="S332" r:id="rId41" xr:uid="{00000000-0004-0000-0100-000028000000}"/>
    <hyperlink ref="S209" r:id="rId42" xr:uid="{00000000-0004-0000-0100-000029000000}"/>
  </hyperlinks>
  <pageMargins left="0.7" right="0.7" top="0.78740157499999996" bottom="0.78740157499999996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SUMÁŘ</vt:lpstr>
      <vt:lpstr>Katalog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Knorová Vlasta</dc:creator>
  <cp:lastModifiedBy>Bílý Jiří</cp:lastModifiedBy>
  <cp:lastPrinted>2020-07-15T05:40:52Z</cp:lastPrinted>
  <dcterms:created xsi:type="dcterms:W3CDTF">2019-04-25T10:46:42Z</dcterms:created>
  <dcterms:modified xsi:type="dcterms:W3CDTF">2022-04-25T09:09:20Z</dcterms:modified>
</cp:coreProperties>
</file>